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showInkAnnotation="0"/>
  <mc:AlternateContent xmlns:mc="http://schemas.openxmlformats.org/markup-compatibility/2006">
    <mc:Choice Requires="x15">
      <x15ac:absPath xmlns:x15ac="http://schemas.microsoft.com/office/spreadsheetml/2010/11/ac" url="D:\専門委員長\令和５年度\R5　高体連提出用　年度末\"/>
    </mc:Choice>
  </mc:AlternateContent>
  <xr:revisionPtr revIDLastSave="0" documentId="13_ncr:1_{25124782-7F0D-456F-8AFA-DCBA580382F7}" xr6:coauthVersionLast="47" xr6:coauthVersionMax="47" xr10:uidLastSave="{00000000-0000-0000-0000-000000000000}"/>
  <bookViews>
    <workbookView showHorizontalScroll="0" showSheetTabs="0" xWindow="-110" yWindow="-110" windowWidth="19420" windowHeight="10420" xr2:uid="{00000000-000D-0000-FFFF-FFFF00000000}"/>
  </bookViews>
  <sheets>
    <sheet name="Menu" sheetId="1" r:id="rId1"/>
    <sheet name="男子" sheetId="2" r:id="rId2"/>
    <sheet name="女子" sheetId="5" r:id="rId3"/>
    <sheet name="処理用" sheetId="4" r:id="rId4"/>
    <sheet name="学校名簿" sheetId="7" r:id="rId5"/>
    <sheet name="予処理" sheetId="6" state="hidden" r:id="rId6"/>
  </sheets>
  <definedNames>
    <definedName name="_xlnm.Print_Area" localSheetId="2">女子!$E$1:$O$40</definedName>
    <definedName name="_xlnm.Print_Area" localSheetId="1">男子!$E$1:$O$40</definedName>
    <definedName name="シングル女">女子!$C$14:$S$29</definedName>
    <definedName name="シングル男">男子!$C$14:$S$29</definedName>
    <definedName name="ダブルス女">女子!$B$14:$S$29</definedName>
    <definedName name="ダブルス男">男子!$B$14:$S$29</definedName>
    <definedName name="参加者女">女子!$F$14:$S$21</definedName>
    <definedName name="参加者男">男子!$F$14:$S$21</definedName>
    <definedName name="大会名" localSheetId="2">女子!$F$45:$G$47</definedName>
    <definedName name="大会名">男子!$F$45:$G$47</definedName>
    <definedName name="大会名２" localSheetId="2">女子!$F$45:$I$47</definedName>
    <definedName name="大会名２">男子!$F$45:$I$47</definedName>
    <definedName name="団体女">女子!$A$14:$S$29</definedName>
    <definedName name="団体男">男子!$A$14:$S$29</definedName>
  </definedNames>
  <calcPr calcId="181029"/>
</workbook>
</file>

<file path=xl/calcChain.xml><?xml version="1.0" encoding="utf-8"?>
<calcChain xmlns="http://schemas.openxmlformats.org/spreadsheetml/2006/main">
  <c r="V6" i="4" l="1"/>
  <c r="C8" i="1" l="1"/>
  <c r="G8" i="1" l="1"/>
  <c r="H8" i="1" s="1"/>
  <c r="I3" i="2" l="1"/>
  <c r="I3" i="5"/>
  <c r="F8" i="1"/>
  <c r="F22" i="1"/>
  <c r="F20" i="1"/>
  <c r="F18" i="1"/>
  <c r="F16" i="1"/>
  <c r="F14" i="1"/>
  <c r="F12" i="1"/>
  <c r="F6" i="1"/>
  <c r="I8" i="2"/>
  <c r="I7" i="2"/>
  <c r="I6" i="2"/>
  <c r="L5" i="2"/>
  <c r="L5" i="5"/>
  <c r="I5" i="2"/>
  <c r="F4" i="1" l="1"/>
  <c r="B2" i="1" s="1"/>
  <c r="H40" i="2"/>
  <c r="H40" i="5"/>
  <c r="I5" i="5"/>
  <c r="L40" i="5"/>
  <c r="L40" i="2"/>
  <c r="I8" i="5"/>
  <c r="I6" i="5"/>
  <c r="I7" i="5"/>
  <c r="V5" i="4" l="1"/>
  <c r="W15" i="2" l="1"/>
  <c r="W16" i="2"/>
  <c r="W17" i="2"/>
  <c r="W18" i="2"/>
  <c r="W19" i="2"/>
  <c r="W20" i="2"/>
  <c r="W21" i="2"/>
  <c r="W22" i="2"/>
  <c r="W23" i="2"/>
  <c r="W24" i="2"/>
  <c r="W25" i="2"/>
  <c r="W26" i="2"/>
  <c r="W27" i="2"/>
  <c r="W28" i="2"/>
  <c r="W29" i="2"/>
  <c r="W14" i="2"/>
  <c r="W15" i="5"/>
  <c r="W16" i="5"/>
  <c r="W17" i="5"/>
  <c r="W18" i="5"/>
  <c r="W19" i="5"/>
  <c r="W20" i="5"/>
  <c r="W21" i="5"/>
  <c r="W22" i="5"/>
  <c r="W23" i="5"/>
  <c r="W24" i="5"/>
  <c r="W25" i="5"/>
  <c r="W26" i="5"/>
  <c r="W27" i="5"/>
  <c r="W28" i="5"/>
  <c r="W29" i="5"/>
  <c r="W14" i="5"/>
  <c r="Q13" i="5" l="1"/>
  <c r="R13" i="5"/>
  <c r="Q13" i="2"/>
  <c r="R13" i="2"/>
  <c r="C10" i="1"/>
  <c r="N47" i="5"/>
  <c r="N46" i="5"/>
  <c r="N45" i="5"/>
  <c r="W33" i="5"/>
  <c r="W32" i="5"/>
  <c r="V29" i="5"/>
  <c r="A29" i="5" s="1"/>
  <c r="U29" i="5"/>
  <c r="R29" i="5"/>
  <c r="Q29" i="5"/>
  <c r="C29" i="5"/>
  <c r="B29" i="5"/>
  <c r="B28" i="5"/>
  <c r="V28" i="5"/>
  <c r="A28" i="5" s="1"/>
  <c r="U28" i="5"/>
  <c r="R28" i="5"/>
  <c r="Q28" i="5"/>
  <c r="C28" i="5"/>
  <c r="B27" i="5"/>
  <c r="V27" i="5"/>
  <c r="U27" i="5"/>
  <c r="R27" i="5"/>
  <c r="Q27" i="5"/>
  <c r="C27" i="5"/>
  <c r="V26" i="5"/>
  <c r="A26" i="5" s="1"/>
  <c r="U26" i="5"/>
  <c r="R26" i="5"/>
  <c r="Q26" i="5"/>
  <c r="C26" i="5"/>
  <c r="B26" i="5"/>
  <c r="B25" i="5"/>
  <c r="V25" i="5"/>
  <c r="U25" i="5"/>
  <c r="R25" i="5"/>
  <c r="Q25" i="5"/>
  <c r="C25" i="5"/>
  <c r="B24" i="5"/>
  <c r="V24" i="5"/>
  <c r="U24" i="5"/>
  <c r="R24" i="5"/>
  <c r="Q24" i="5"/>
  <c r="C24" i="5"/>
  <c r="B23" i="5"/>
  <c r="V23" i="5"/>
  <c r="U23" i="5"/>
  <c r="R23" i="5"/>
  <c r="Q23" i="5"/>
  <c r="C23" i="5"/>
  <c r="V22" i="5"/>
  <c r="U22" i="5"/>
  <c r="R22" i="5"/>
  <c r="Q22" i="5"/>
  <c r="C22" i="5"/>
  <c r="B22" i="5"/>
  <c r="B21" i="5"/>
  <c r="V21" i="5"/>
  <c r="A21" i="5" s="1"/>
  <c r="U21" i="5"/>
  <c r="R21" i="5"/>
  <c r="Q21" i="5"/>
  <c r="C21" i="5"/>
  <c r="B17" i="5"/>
  <c r="V20" i="5"/>
  <c r="A20" i="5" s="1"/>
  <c r="U20" i="5"/>
  <c r="R20" i="5"/>
  <c r="Q20" i="5"/>
  <c r="C20" i="5"/>
  <c r="B19" i="5"/>
  <c r="V19" i="5"/>
  <c r="A19" i="5" s="1"/>
  <c r="U19" i="5"/>
  <c r="R19" i="5"/>
  <c r="Q19" i="5"/>
  <c r="C19" i="5"/>
  <c r="B18" i="5"/>
  <c r="V18" i="5"/>
  <c r="A18" i="5" s="1"/>
  <c r="U18" i="5"/>
  <c r="R18" i="5"/>
  <c r="Q18" i="5"/>
  <c r="C18" i="5"/>
  <c r="Z17" i="5"/>
  <c r="V17" i="5"/>
  <c r="A17" i="5" s="1"/>
  <c r="U17" i="5"/>
  <c r="R17" i="5"/>
  <c r="Q17" i="5"/>
  <c r="C17" i="5"/>
  <c r="AH16" i="5"/>
  <c r="Z16" i="5"/>
  <c r="V16" i="5"/>
  <c r="U16" i="5"/>
  <c r="R16" i="5"/>
  <c r="Q16" i="5"/>
  <c r="C16" i="5"/>
  <c r="Z15" i="5"/>
  <c r="B16" i="5"/>
  <c r="V15" i="5"/>
  <c r="U15" i="5"/>
  <c r="R15" i="5"/>
  <c r="Q15" i="5"/>
  <c r="C15" i="5"/>
  <c r="Z14" i="5"/>
  <c r="B14" i="5"/>
  <c r="V14" i="5"/>
  <c r="U14" i="5"/>
  <c r="R14" i="5"/>
  <c r="Q14" i="5"/>
  <c r="C14" i="5"/>
  <c r="AA13" i="5"/>
  <c r="Z13" i="5"/>
  <c r="AA12" i="5"/>
  <c r="Z12" i="5"/>
  <c r="AA11" i="5"/>
  <c r="Z11" i="5"/>
  <c r="AA10" i="5"/>
  <c r="Z10" i="5"/>
  <c r="Y10" i="5"/>
  <c r="E1" i="5"/>
  <c r="G33" i="5" s="1"/>
  <c r="U15" i="2"/>
  <c r="U16" i="2"/>
  <c r="U17" i="2"/>
  <c r="U18" i="2"/>
  <c r="U19" i="2"/>
  <c r="U20" i="2"/>
  <c r="U21" i="2"/>
  <c r="U22" i="2"/>
  <c r="U23" i="2"/>
  <c r="U24" i="2"/>
  <c r="U25" i="2"/>
  <c r="U26" i="2"/>
  <c r="U27" i="2"/>
  <c r="U28" i="2"/>
  <c r="U29" i="2"/>
  <c r="U14" i="2"/>
  <c r="C4" i="1"/>
  <c r="A1" i="4" s="1"/>
  <c r="E1" i="2"/>
  <c r="G33" i="2" s="1"/>
  <c r="R14" i="2"/>
  <c r="R15" i="2"/>
  <c r="R16" i="2"/>
  <c r="R17" i="2"/>
  <c r="R18" i="2"/>
  <c r="R19" i="2"/>
  <c r="R20" i="2"/>
  <c r="R21" i="2"/>
  <c r="R22" i="2"/>
  <c r="R23" i="2"/>
  <c r="R24" i="2"/>
  <c r="R25" i="2"/>
  <c r="R26" i="2"/>
  <c r="R27" i="2"/>
  <c r="R28" i="2"/>
  <c r="R29" i="2"/>
  <c r="Q15" i="2"/>
  <c r="Q16" i="2"/>
  <c r="Q17" i="2"/>
  <c r="Q18" i="2"/>
  <c r="Q19" i="2"/>
  <c r="Q20" i="2"/>
  <c r="Q21" i="2"/>
  <c r="Q22" i="2"/>
  <c r="Q23" i="2"/>
  <c r="Q24" i="2"/>
  <c r="Q25" i="2"/>
  <c r="Q26" i="2"/>
  <c r="Q27" i="2"/>
  <c r="Q28" i="2"/>
  <c r="Q29" i="2"/>
  <c r="Q14" i="2"/>
  <c r="AA10" i="2"/>
  <c r="Y10" i="2"/>
  <c r="Z10" i="2"/>
  <c r="Z11" i="2"/>
  <c r="AA11" i="2"/>
  <c r="Z12" i="2"/>
  <c r="AA12" i="2"/>
  <c r="C14" i="2"/>
  <c r="V14" i="2"/>
  <c r="Z13" i="2"/>
  <c r="AA13" i="2"/>
  <c r="C15" i="2"/>
  <c r="V15" i="2"/>
  <c r="Z14" i="2"/>
  <c r="C16" i="2"/>
  <c r="V16" i="2"/>
  <c r="A16" i="2" s="1"/>
  <c r="Z15" i="2"/>
  <c r="AH16" i="2"/>
  <c r="C17" i="2"/>
  <c r="V17" i="2"/>
  <c r="Z16" i="2"/>
  <c r="C18" i="2"/>
  <c r="V18" i="2"/>
  <c r="B18" i="2"/>
  <c r="Z17" i="2"/>
  <c r="C19" i="2"/>
  <c r="V19" i="2"/>
  <c r="C20" i="2"/>
  <c r="V20" i="2"/>
  <c r="A20" i="2" s="1"/>
  <c r="C21" i="2"/>
  <c r="V21" i="2"/>
  <c r="A21" i="2" s="1"/>
  <c r="C22" i="2"/>
  <c r="V22" i="2"/>
  <c r="C23" i="2"/>
  <c r="V23" i="2"/>
  <c r="C24" i="2"/>
  <c r="V24" i="2"/>
  <c r="C25" i="2"/>
  <c r="V25" i="2"/>
  <c r="A25" i="2" s="1"/>
  <c r="C26" i="2"/>
  <c r="V26" i="2"/>
  <c r="A26" i="2" s="1"/>
  <c r="C27" i="2"/>
  <c r="V27" i="2"/>
  <c r="C28" i="2"/>
  <c r="V28" i="2"/>
  <c r="A28" i="2" s="1"/>
  <c r="B23" i="2"/>
  <c r="C29" i="2"/>
  <c r="V29" i="2"/>
  <c r="A29" i="2" s="1"/>
  <c r="B29" i="2"/>
  <c r="W32" i="2"/>
  <c r="W33" i="2"/>
  <c r="N45" i="2"/>
  <c r="N46" i="2"/>
  <c r="N47" i="2"/>
  <c r="B20" i="5"/>
  <c r="B15" i="5"/>
  <c r="B26" i="2"/>
  <c r="B25" i="2"/>
  <c r="B20" i="2"/>
  <c r="B19" i="2"/>
  <c r="B16" i="2"/>
  <c r="B22" i="2"/>
  <c r="B17" i="2"/>
  <c r="B21" i="2"/>
  <c r="S24" i="5" l="1"/>
  <c r="S19" i="5"/>
  <c r="G31" i="2"/>
  <c r="G31" i="5"/>
  <c r="AA16" i="2"/>
  <c r="M12" i="2"/>
  <c r="L12" i="2"/>
  <c r="K12" i="2"/>
  <c r="Z18" i="5"/>
  <c r="M12" i="5"/>
  <c r="L12" i="5"/>
  <c r="K12" i="5"/>
  <c r="S20" i="5"/>
  <c r="S15" i="2"/>
  <c r="S22" i="5"/>
  <c r="C30" i="2"/>
  <c r="C33" i="6" s="1"/>
  <c r="S22" i="2"/>
  <c r="S14" i="2"/>
  <c r="A27" i="2"/>
  <c r="S18" i="5"/>
  <c r="S29" i="5"/>
  <c r="S17" i="5"/>
  <c r="S26" i="2"/>
  <c r="S18" i="2"/>
  <c r="C30" i="5"/>
  <c r="C38" i="6" s="1"/>
  <c r="S27" i="5"/>
  <c r="S13" i="2"/>
  <c r="D5" i="4" s="1"/>
  <c r="S16" i="2"/>
  <c r="S25" i="5"/>
  <c r="A18" i="2"/>
  <c r="A22" i="2"/>
  <c r="S25" i="2"/>
  <c r="S14" i="5"/>
  <c r="S23" i="5"/>
  <c r="A25" i="5"/>
  <c r="A15" i="2"/>
  <c r="S28" i="5"/>
  <c r="A23" i="2"/>
  <c r="A24" i="5"/>
  <c r="A16" i="5"/>
  <c r="S28" i="2"/>
  <c r="S20" i="2"/>
  <c r="A27" i="5"/>
  <c r="S27" i="2"/>
  <c r="S16" i="5"/>
  <c r="V13" i="5"/>
  <c r="AH14" i="5" s="1"/>
  <c r="S26" i="5"/>
  <c r="S13" i="5"/>
  <c r="D6" i="4" s="1"/>
  <c r="C6" i="4"/>
  <c r="C5" i="4"/>
  <c r="M30" i="5"/>
  <c r="Z22" i="5"/>
  <c r="S19" i="2"/>
  <c r="S17" i="2"/>
  <c r="S29" i="2"/>
  <c r="S24" i="2"/>
  <c r="S23" i="2"/>
  <c r="S21" i="2"/>
  <c r="A19" i="2"/>
  <c r="A14" i="2"/>
  <c r="V13" i="2"/>
  <c r="AH14" i="2" s="1"/>
  <c r="A17" i="2"/>
  <c r="A24" i="2"/>
  <c r="B24" i="2"/>
  <c r="B27" i="2"/>
  <c r="B14" i="2"/>
  <c r="AH15" i="2"/>
  <c r="B15" i="2"/>
  <c r="B28" i="2"/>
  <c r="M30" i="2"/>
  <c r="AH15" i="5"/>
  <c r="B30" i="5"/>
  <c r="A15" i="5"/>
  <c r="A23" i="5"/>
  <c r="A22" i="5"/>
  <c r="A14" i="5"/>
  <c r="S21" i="5"/>
  <c r="S15" i="5"/>
  <c r="AA14" i="5"/>
  <c r="Z21" i="5"/>
  <c r="AG13" i="2"/>
  <c r="Z23" i="2"/>
  <c r="AA15" i="5"/>
  <c r="Z25" i="2"/>
  <c r="Z22" i="2"/>
  <c r="Z20" i="5"/>
  <c r="AG13" i="5"/>
  <c r="AA17" i="5"/>
  <c r="Z19" i="5"/>
  <c r="AA17" i="2"/>
  <c r="Z21" i="2"/>
  <c r="AA14" i="2"/>
  <c r="AA16" i="5"/>
  <c r="Z24" i="2"/>
  <c r="Z19" i="2"/>
  <c r="Z20" i="2"/>
  <c r="Z18" i="2"/>
  <c r="Z24" i="5"/>
  <c r="Z25" i="5"/>
  <c r="Z23" i="5"/>
  <c r="AA15" i="2"/>
  <c r="C45" i="6" l="1"/>
  <c r="C44" i="6"/>
  <c r="E44" i="6" s="1"/>
  <c r="I44" i="6" s="1"/>
  <c r="A44" i="6" s="1"/>
  <c r="C36" i="6"/>
  <c r="G36" i="6" s="1"/>
  <c r="C26" i="6"/>
  <c r="F26" i="6" s="1"/>
  <c r="C18" i="6"/>
  <c r="G18" i="6" s="1"/>
  <c r="C43" i="6"/>
  <c r="G43" i="6" s="1"/>
  <c r="C41" i="6"/>
  <c r="G41" i="6" s="1"/>
  <c r="C28" i="6"/>
  <c r="G28" i="6" s="1"/>
  <c r="C20" i="6"/>
  <c r="F20" i="6" s="1"/>
  <c r="C27" i="6"/>
  <c r="C24" i="6"/>
  <c r="G24" i="6" s="1"/>
  <c r="C19" i="6"/>
  <c r="G19" i="6" s="1"/>
  <c r="C29" i="6"/>
  <c r="G29" i="6" s="1"/>
  <c r="C23" i="6"/>
  <c r="G23" i="6" s="1"/>
  <c r="C30" i="6"/>
  <c r="F30" i="6" s="1"/>
  <c r="C31" i="6"/>
  <c r="E31" i="6" s="1"/>
  <c r="I31" i="6" s="1"/>
  <c r="A31" i="6" s="1"/>
  <c r="C25" i="6"/>
  <c r="G25" i="6" s="1"/>
  <c r="C21" i="6"/>
  <c r="G21" i="6" s="1"/>
  <c r="C22" i="6"/>
  <c r="F22" i="6" s="1"/>
  <c r="C32" i="6"/>
  <c r="G32" i="6" s="1"/>
  <c r="C35" i="6"/>
  <c r="F35" i="6" s="1"/>
  <c r="E36" i="6"/>
  <c r="I36" i="6" s="1"/>
  <c r="C42" i="6"/>
  <c r="G42" i="6" s="1"/>
  <c r="C47" i="6"/>
  <c r="G47" i="6" s="1"/>
  <c r="C46" i="6"/>
  <c r="F46" i="6" s="1"/>
  <c r="F36" i="6"/>
  <c r="G38" i="6"/>
  <c r="F38" i="6"/>
  <c r="E38" i="6"/>
  <c r="I38" i="6" s="1"/>
  <c r="C48" i="6"/>
  <c r="F48" i="6" s="1"/>
  <c r="C37" i="6"/>
  <c r="C34" i="6"/>
  <c r="C40" i="6"/>
  <c r="F40" i="6" s="1"/>
  <c r="C39" i="6"/>
  <c r="C49" i="6"/>
  <c r="F49" i="6" s="1"/>
  <c r="F32" i="6"/>
  <c r="F44" i="6"/>
  <c r="G44" i="6"/>
  <c r="C1" i="4"/>
  <c r="E24" i="6"/>
  <c r="I24" i="6" s="1"/>
  <c r="F24" i="6"/>
  <c r="E29" i="6"/>
  <c r="I29" i="6" s="1"/>
  <c r="A29" i="6" s="1"/>
  <c r="F29" i="6"/>
  <c r="E30" i="6"/>
  <c r="I30" i="6" s="1"/>
  <c r="A30" i="6" s="1"/>
  <c r="G33" i="6"/>
  <c r="E33" i="6"/>
  <c r="I33" i="6" s="1"/>
  <c r="A33" i="6" s="1"/>
  <c r="F33" i="6"/>
  <c r="G45" i="6"/>
  <c r="F45" i="6"/>
  <c r="E45" i="6"/>
  <c r="I45" i="6" s="1"/>
  <c r="A45" i="6" s="1"/>
  <c r="B30" i="2"/>
  <c r="C2" i="6" s="1"/>
  <c r="E2" i="6" s="1"/>
  <c r="I2" i="6" s="1"/>
  <c r="C15" i="6"/>
  <c r="E15" i="6" s="1"/>
  <c r="I15" i="6" s="1"/>
  <c r="C10" i="6"/>
  <c r="E10" i="6" s="1"/>
  <c r="I10" i="6" s="1"/>
  <c r="C11" i="6"/>
  <c r="E11" i="6" s="1"/>
  <c r="I11" i="6" s="1"/>
  <c r="C14" i="6"/>
  <c r="E14" i="6" s="1"/>
  <c r="I14" i="6" s="1"/>
  <c r="C12" i="6"/>
  <c r="E12" i="6" s="1"/>
  <c r="I12" i="6" s="1"/>
  <c r="C16" i="6"/>
  <c r="E16" i="6" s="1"/>
  <c r="I16" i="6" s="1"/>
  <c r="C13" i="6"/>
  <c r="E13" i="6" s="1"/>
  <c r="I13" i="6" s="1"/>
  <c r="C17" i="6"/>
  <c r="E17" i="6" s="1"/>
  <c r="I17" i="6" s="1"/>
  <c r="C2" i="4"/>
  <c r="P6" i="4"/>
  <c r="L6" i="4"/>
  <c r="G5" i="4"/>
  <c r="M5" i="4"/>
  <c r="E48" i="6" l="1"/>
  <c r="I48" i="6" s="1"/>
  <c r="A48" i="6" s="1"/>
  <c r="F25" i="6"/>
  <c r="F43" i="6"/>
  <c r="F21" i="6"/>
  <c r="E21" i="6"/>
  <c r="I21" i="6" s="1"/>
  <c r="E25" i="6"/>
  <c r="I25" i="6" s="1"/>
  <c r="F18" i="6"/>
  <c r="F41" i="6"/>
  <c r="E32" i="6"/>
  <c r="I32" i="6" s="1"/>
  <c r="A32" i="6" s="1"/>
  <c r="E18" i="6"/>
  <c r="I18" i="6" s="1"/>
  <c r="E23" i="6"/>
  <c r="I23" i="6" s="1"/>
  <c r="F23" i="6"/>
  <c r="G26" i="6"/>
  <c r="E26" i="6"/>
  <c r="I26" i="6" s="1"/>
  <c r="A26" i="6" s="1"/>
  <c r="E41" i="6"/>
  <c r="I41" i="6" s="1"/>
  <c r="E47" i="6"/>
  <c r="I47" i="6" s="1"/>
  <c r="A47" i="6" s="1"/>
  <c r="E43" i="6"/>
  <c r="I43" i="6" s="1"/>
  <c r="A43" i="6" s="1"/>
  <c r="F47" i="6"/>
  <c r="F42" i="6"/>
  <c r="E42" i="6"/>
  <c r="I42" i="6" s="1"/>
  <c r="A42" i="6" s="1"/>
  <c r="F27" i="6"/>
  <c r="G27" i="6"/>
  <c r="E27" i="6"/>
  <c r="I27" i="6" s="1"/>
  <c r="A27" i="6" s="1"/>
  <c r="G30" i="6"/>
  <c r="F19" i="6"/>
  <c r="E19" i="6"/>
  <c r="I19" i="6" s="1"/>
  <c r="G20" i="6"/>
  <c r="E20" i="6"/>
  <c r="I20" i="6" s="1"/>
  <c r="G22" i="6"/>
  <c r="E22" i="6"/>
  <c r="I22" i="6" s="1"/>
  <c r="E28" i="6"/>
  <c r="I28" i="6" s="1"/>
  <c r="A28" i="6" s="1"/>
  <c r="F28" i="6"/>
  <c r="F31" i="6"/>
  <c r="G31" i="6"/>
  <c r="G46" i="6"/>
  <c r="E46" i="6"/>
  <c r="I46" i="6" s="1"/>
  <c r="A46" i="6" s="1"/>
  <c r="G49" i="6"/>
  <c r="G35" i="6"/>
  <c r="E35" i="6"/>
  <c r="I35" i="6" s="1"/>
  <c r="G34" i="6"/>
  <c r="E34" i="6"/>
  <c r="I34" i="6" s="1"/>
  <c r="F34" i="6"/>
  <c r="G37" i="6"/>
  <c r="F37" i="6"/>
  <c r="E37" i="6"/>
  <c r="I37" i="6" s="1"/>
  <c r="G48" i="6"/>
  <c r="E49" i="6"/>
  <c r="I49" i="6" s="1"/>
  <c r="A49" i="6" s="1"/>
  <c r="G39" i="6"/>
  <c r="E39" i="6"/>
  <c r="I39" i="6" s="1"/>
  <c r="F39" i="6"/>
  <c r="G40" i="6"/>
  <c r="E40" i="6"/>
  <c r="I40" i="6" s="1"/>
  <c r="C7" i="6"/>
  <c r="E7" i="6" s="1"/>
  <c r="I7" i="6" s="1"/>
  <c r="F7" i="6" s="1"/>
  <c r="C6" i="6"/>
  <c r="E6" i="6" s="1"/>
  <c r="I6" i="6" s="1"/>
  <c r="F6" i="6" s="1"/>
  <c r="C8" i="6"/>
  <c r="E8" i="6" s="1"/>
  <c r="I8" i="6" s="1"/>
  <c r="G8" i="6" s="1"/>
  <c r="C3" i="6"/>
  <c r="E3" i="6" s="1"/>
  <c r="I3" i="6" s="1"/>
  <c r="G3" i="6" s="1"/>
  <c r="C9" i="6"/>
  <c r="E9" i="6" s="1"/>
  <c r="I9" i="6" s="1"/>
  <c r="C5" i="6"/>
  <c r="E5" i="6" s="1"/>
  <c r="I5" i="6" s="1"/>
  <c r="G5" i="6" s="1"/>
  <c r="C4" i="6"/>
  <c r="E4" i="6" s="1"/>
  <c r="I4" i="6" s="1"/>
  <c r="G4" i="6" s="1"/>
  <c r="G2" i="6"/>
  <c r="F2" i="6"/>
  <c r="A16" i="6"/>
  <c r="F16" i="6"/>
  <c r="G16" i="6"/>
  <c r="G12" i="6"/>
  <c r="F12" i="6"/>
  <c r="F14" i="6"/>
  <c r="G14" i="6"/>
  <c r="G11" i="6"/>
  <c r="F11" i="6"/>
  <c r="G10" i="6"/>
  <c r="F10" i="6"/>
  <c r="F13" i="6"/>
  <c r="G13" i="6"/>
  <c r="F15" i="6"/>
  <c r="G15" i="6"/>
  <c r="A15" i="6"/>
  <c r="G17" i="6"/>
  <c r="A17" i="6"/>
  <c r="F17" i="6"/>
  <c r="K5" i="4"/>
  <c r="U6" i="4"/>
  <c r="R6" i="4"/>
  <c r="I6" i="4"/>
  <c r="J6" i="4"/>
  <c r="L5" i="4"/>
  <c r="H6" i="4"/>
  <c r="F5" i="4"/>
  <c r="I5" i="4"/>
  <c r="O6" i="4"/>
  <c r="N6" i="4"/>
  <c r="T5" i="4"/>
  <c r="N5" i="4"/>
  <c r="S6" i="4"/>
  <c r="J5" i="4"/>
  <c r="M6" i="4"/>
  <c r="Q5" i="4"/>
  <c r="F6" i="4"/>
  <c r="R5" i="4"/>
  <c r="Q6" i="4"/>
  <c r="H5" i="4"/>
  <c r="P5" i="4"/>
  <c r="K6" i="4"/>
  <c r="T6" i="4"/>
  <c r="O5" i="4"/>
  <c r="U5" i="4"/>
  <c r="G6" i="4"/>
  <c r="S5" i="4"/>
  <c r="A14" i="6" l="1"/>
  <c r="F8" i="6"/>
  <c r="A8" i="6"/>
  <c r="A6" i="6"/>
  <c r="G6" i="6"/>
  <c r="F3" i="6"/>
  <c r="A5" i="6"/>
  <c r="F5" i="6"/>
  <c r="A20" i="6"/>
  <c r="A38" i="6"/>
  <c r="A11" i="6"/>
  <c r="A12" i="6"/>
  <c r="A35" i="6"/>
  <c r="A37" i="6"/>
  <c r="A4" i="6"/>
  <c r="F9" i="6"/>
  <c r="A9" i="6"/>
  <c r="G9" i="6"/>
  <c r="A18" i="6"/>
  <c r="A24" i="6"/>
  <c r="A40" i="6"/>
  <c r="A36" i="6"/>
  <c r="A41" i="6"/>
  <c r="A21" i="6"/>
  <c r="A7" i="6"/>
  <c r="A39" i="6"/>
  <c r="A19" i="6"/>
  <c r="A13" i="6"/>
  <c r="A25" i="6"/>
  <c r="G7" i="6"/>
  <c r="A34" i="6"/>
  <c r="A10" i="6"/>
  <c r="A2" i="6"/>
  <c r="A23" i="6"/>
  <c r="A22" i="6"/>
  <c r="A3" i="6"/>
  <c r="F4" i="6"/>
  <c r="A1" i="6" l="1"/>
  <c r="A70" i="4"/>
  <c r="A104" i="4" s="1"/>
  <c r="A117" i="4" l="1"/>
  <c r="A80" i="4"/>
  <c r="B20" i="4" s="1"/>
  <c r="A20" i="4" s="1"/>
  <c r="A120" i="4"/>
  <c r="A81" i="4"/>
  <c r="F21" i="4" s="1"/>
  <c r="A107" i="4"/>
  <c r="D47" i="4" s="1"/>
  <c r="A87" i="4"/>
  <c r="D27" i="4" s="1"/>
  <c r="A121" i="4"/>
  <c r="A127" i="4"/>
  <c r="A130" i="4"/>
  <c r="A139" i="4"/>
  <c r="A124" i="4"/>
  <c r="A134" i="4"/>
  <c r="A103" i="4"/>
  <c r="C43" i="4" s="1"/>
  <c r="A72" i="4"/>
  <c r="C12" i="4" s="1"/>
  <c r="A96" i="4"/>
  <c r="G36" i="4" s="1"/>
  <c r="A114" i="4"/>
  <c r="A102" i="4"/>
  <c r="F42" i="4" s="1"/>
  <c r="A101" i="4"/>
  <c r="B41" i="4" s="1"/>
  <c r="A41" i="4" s="1"/>
  <c r="A75" i="4"/>
  <c r="F15" i="4" s="1"/>
  <c r="A76" i="4"/>
  <c r="E16" i="4" s="1"/>
  <c r="A89" i="4"/>
  <c r="F29" i="4" s="1"/>
  <c r="A98" i="4"/>
  <c r="E38" i="4" s="1"/>
  <c r="A113" i="4"/>
  <c r="A86" i="4"/>
  <c r="G26" i="4" s="1"/>
  <c r="A79" i="4"/>
  <c r="D19" i="4" s="1"/>
  <c r="A99" i="4"/>
  <c r="E39" i="4" s="1"/>
  <c r="A128" i="4"/>
  <c r="A135" i="4"/>
  <c r="A122" i="4"/>
  <c r="A93" i="4"/>
  <c r="E33" i="4" s="1"/>
  <c r="A108" i="4"/>
  <c r="D48" i="4" s="1"/>
  <c r="A105" i="4"/>
  <c r="G45" i="4" s="1"/>
  <c r="A116" i="4"/>
  <c r="A78" i="4"/>
  <c r="C18" i="4" s="1"/>
  <c r="A123" i="4"/>
  <c r="A92" i="4"/>
  <c r="G32" i="4" s="1"/>
  <c r="A74" i="4"/>
  <c r="B14" i="4" s="1"/>
  <c r="A14" i="4" s="1"/>
  <c r="A94" i="4"/>
  <c r="C34" i="4" s="1"/>
  <c r="A129" i="4"/>
  <c r="A115" i="4"/>
  <c r="A126" i="4"/>
  <c r="A91" i="4"/>
  <c r="E31" i="4" s="1"/>
  <c r="A118" i="4"/>
  <c r="A106" i="4"/>
  <c r="G46" i="4" s="1"/>
  <c r="A90" i="4"/>
  <c r="F30" i="4" s="1"/>
  <c r="A82" i="4"/>
  <c r="A111" i="4"/>
  <c r="A140" i="4"/>
  <c r="A97" i="4"/>
  <c r="C37" i="4" s="1"/>
  <c r="A95" i="4"/>
  <c r="D35" i="4" s="1"/>
  <c r="A85" i="4"/>
  <c r="B25" i="4" s="1"/>
  <c r="A25" i="4" s="1"/>
  <c r="A109" i="4"/>
  <c r="B49" i="4" s="1"/>
  <c r="A49" i="4" s="1"/>
  <c r="A131" i="4"/>
  <c r="A73" i="4"/>
  <c r="G13" i="4" s="1"/>
  <c r="A100" i="4"/>
  <c r="E40" i="4" s="1"/>
  <c r="A83" i="4"/>
  <c r="E23" i="4" s="1"/>
  <c r="A71" i="4"/>
  <c r="E11" i="4" s="1"/>
  <c r="A84" i="4"/>
  <c r="C24" i="4" s="1"/>
  <c r="A77" i="4"/>
  <c r="C17" i="4" s="1"/>
  <c r="A88" i="4"/>
  <c r="B28" i="4" s="1"/>
  <c r="A28" i="4" s="1"/>
  <c r="A133" i="4"/>
  <c r="A125" i="4"/>
  <c r="A137" i="4"/>
  <c r="A110" i="4"/>
  <c r="E50" i="4" s="1"/>
  <c r="A138" i="4"/>
  <c r="A119" i="4"/>
  <c r="A136" i="4"/>
  <c r="A112" i="4"/>
  <c r="A132" i="4"/>
  <c r="D44" i="4"/>
  <c r="B44" i="4"/>
  <c r="A44" i="4" s="1"/>
  <c r="E44" i="4"/>
  <c r="F44" i="4"/>
  <c r="G44" i="4"/>
  <c r="C44" i="4"/>
  <c r="B36" i="4" l="1"/>
  <c r="A36" i="4" s="1"/>
  <c r="D43" i="4"/>
  <c r="E22" i="4"/>
  <c r="D22" i="4"/>
  <c r="C15" i="4"/>
  <c r="F25" i="4"/>
  <c r="C25" i="4"/>
  <c r="B21" i="4"/>
  <c r="A21" i="4" s="1"/>
  <c r="C27" i="4"/>
  <c r="D21" i="4"/>
  <c r="D15" i="4"/>
  <c r="E25" i="4"/>
  <c r="G15" i="4"/>
  <c r="G21" i="4"/>
  <c r="E21" i="4"/>
  <c r="E20" i="4"/>
  <c r="F20" i="4"/>
  <c r="C20" i="4"/>
  <c r="F17" i="4"/>
  <c r="E17" i="4"/>
  <c r="D30" i="4"/>
  <c r="B17" i="4"/>
  <c r="A17" i="4" s="1"/>
  <c r="E28" i="4"/>
  <c r="C33" i="4"/>
  <c r="G11" i="4"/>
  <c r="C19" i="4"/>
  <c r="C39" i="4"/>
  <c r="D20" i="4"/>
  <c r="D37" i="4"/>
  <c r="G20" i="4"/>
  <c r="B29" i="4"/>
  <c r="A29" i="4" s="1"/>
  <c r="G17" i="4"/>
  <c r="G25" i="4"/>
  <c r="B15" i="4"/>
  <c r="A15" i="4" s="1"/>
  <c r="D17" i="4"/>
  <c r="D25" i="4"/>
  <c r="E15" i="4"/>
  <c r="E27" i="4"/>
  <c r="C22" i="4"/>
  <c r="G40" i="4"/>
  <c r="F36" i="4"/>
  <c r="C48" i="4"/>
  <c r="D40" i="4"/>
  <c r="E36" i="4"/>
  <c r="B48" i="4"/>
  <c r="A48" i="4" s="1"/>
  <c r="C40" i="4"/>
  <c r="D36" i="4"/>
  <c r="F40" i="4"/>
  <c r="B40" i="4"/>
  <c r="A40" i="4" s="1"/>
  <c r="G48" i="4"/>
  <c r="E48" i="4"/>
  <c r="C36" i="4"/>
  <c r="F48" i="4"/>
  <c r="G39" i="4"/>
  <c r="F46" i="4"/>
  <c r="G19" i="4"/>
  <c r="E30" i="4"/>
  <c r="C46" i="4"/>
  <c r="F11" i="4"/>
  <c r="D49" i="4"/>
  <c r="E42" i="4"/>
  <c r="B16" i="4"/>
  <c r="A16" i="4" s="1"/>
  <c r="G37" i="4"/>
  <c r="C21" i="4"/>
  <c r="C30" i="4"/>
  <c r="E14" i="4"/>
  <c r="D39" i="4"/>
  <c r="B30" i="4"/>
  <c r="A30" i="4" s="1"/>
  <c r="C29" i="4"/>
  <c r="B43" i="4"/>
  <c r="A43" i="4" s="1"/>
  <c r="C47" i="4"/>
  <c r="B39" i="4"/>
  <c r="A39" i="4" s="1"/>
  <c r="F19" i="4"/>
  <c r="F14" i="4"/>
  <c r="D31" i="4"/>
  <c r="G30" i="4"/>
  <c r="G31" i="4"/>
  <c r="G24" i="4"/>
  <c r="D32" i="4"/>
  <c r="D46" i="4"/>
  <c r="G49" i="4"/>
  <c r="F35" i="4"/>
  <c r="G18" i="4"/>
  <c r="D28" i="4"/>
  <c r="F28" i="4"/>
  <c r="E24" i="4"/>
  <c r="C31" i="4"/>
  <c r="C38" i="4"/>
  <c r="G35" i="4"/>
  <c r="D14" i="4"/>
  <c r="B19" i="4"/>
  <c r="A19" i="4" s="1"/>
  <c r="B46" i="4"/>
  <c r="A46" i="4" s="1"/>
  <c r="G28" i="4"/>
  <c r="D24" i="4"/>
  <c r="E49" i="4"/>
  <c r="F37" i="4"/>
  <c r="F32" i="4"/>
  <c r="D16" i="4"/>
  <c r="D41" i="4"/>
  <c r="G12" i="4"/>
  <c r="G22" i="4"/>
  <c r="F24" i="4"/>
  <c r="C49" i="4"/>
  <c r="E35" i="4"/>
  <c r="B37" i="4"/>
  <c r="A37" i="4" s="1"/>
  <c r="E18" i="4"/>
  <c r="F39" i="4"/>
  <c r="E19" i="4"/>
  <c r="B33" i="4"/>
  <c r="A33" i="4" s="1"/>
  <c r="D11" i="4"/>
  <c r="B35" i="4"/>
  <c r="A35" i="4" s="1"/>
  <c r="F34" i="4"/>
  <c r="G38" i="4"/>
  <c r="B24" i="4"/>
  <c r="A24" i="4" s="1"/>
  <c r="F49" i="4"/>
  <c r="B31" i="4"/>
  <c r="A31" i="4" s="1"/>
  <c r="B18" i="4"/>
  <c r="A18" i="4" s="1"/>
  <c r="C41" i="4"/>
  <c r="C28" i="4"/>
  <c r="B11" i="4"/>
  <c r="A11" i="4" s="1"/>
  <c r="E13" i="4"/>
  <c r="C35" i="4"/>
  <c r="E37" i="4"/>
  <c r="B32" i="4"/>
  <c r="A32" i="4" s="1"/>
  <c r="D29" i="4"/>
  <c r="E46" i="4"/>
  <c r="C11" i="4"/>
  <c r="F31" i="4"/>
  <c r="D18" i="4"/>
  <c r="E29" i="4"/>
  <c r="B42" i="4"/>
  <c r="A42" i="4" s="1"/>
  <c r="E43" i="4"/>
  <c r="C14" i="4"/>
  <c r="F18" i="4"/>
  <c r="C16" i="4"/>
  <c r="E41" i="4"/>
  <c r="F22" i="4"/>
  <c r="D33" i="4"/>
  <c r="D13" i="4"/>
  <c r="G27" i="4"/>
  <c r="D38" i="4"/>
  <c r="B22" i="4"/>
  <c r="A22" i="4" s="1"/>
  <c r="F13" i="4"/>
  <c r="B27" i="4"/>
  <c r="A27" i="4" s="1"/>
  <c r="B34" i="4"/>
  <c r="A34" i="4" s="1"/>
  <c r="D12" i="4"/>
  <c r="B13" i="4"/>
  <c r="A13" i="4" s="1"/>
  <c r="F27" i="4"/>
  <c r="E34" i="4"/>
  <c r="E12" i="4"/>
  <c r="G33" i="4"/>
  <c r="C13" i="4"/>
  <c r="D34" i="4"/>
  <c r="B38" i="4"/>
  <c r="A38" i="4" s="1"/>
  <c r="B12" i="4"/>
  <c r="A12" i="4" s="1"/>
  <c r="F33" i="4"/>
  <c r="G34" i="4"/>
  <c r="F38" i="4"/>
  <c r="F12" i="4"/>
  <c r="G14" i="4"/>
  <c r="C32" i="4"/>
  <c r="G29" i="4"/>
  <c r="G16" i="4"/>
  <c r="G41" i="4"/>
  <c r="G42" i="4"/>
  <c r="F43" i="4"/>
  <c r="G47" i="4"/>
  <c r="E32" i="4"/>
  <c r="F16" i="4"/>
  <c r="F41" i="4"/>
  <c r="B47" i="4"/>
  <c r="A47" i="4" s="1"/>
  <c r="G43" i="4"/>
  <c r="F47" i="4"/>
  <c r="D23" i="4"/>
  <c r="E47" i="4"/>
  <c r="F26" i="4"/>
  <c r="D50" i="4"/>
  <c r="B50" i="4"/>
  <c r="A50" i="4" s="1"/>
  <c r="B23" i="4"/>
  <c r="A23" i="4" s="1"/>
  <c r="C26" i="4"/>
  <c r="F45" i="4"/>
  <c r="C50" i="4"/>
  <c r="G23" i="4"/>
  <c r="B26" i="4"/>
  <c r="A26" i="4" s="1"/>
  <c r="D42" i="4"/>
  <c r="E45" i="4"/>
  <c r="G50" i="4"/>
  <c r="F23" i="4"/>
  <c r="C42" i="4"/>
  <c r="C45" i="4"/>
  <c r="C23" i="4"/>
  <c r="D45" i="4"/>
  <c r="D26" i="4"/>
  <c r="B45" i="4"/>
  <c r="A45" i="4" s="1"/>
  <c r="F50" i="4"/>
  <c r="E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0" authorId="0" shapeId="0" xr:uid="{00000000-0006-0000-0100-000001000000}">
      <text>
        <r>
          <rPr>
            <sz val="9"/>
            <color indexed="8"/>
            <rFont val="ＭＳ Ｐゴシック"/>
            <family val="3"/>
            <charset val="128"/>
          </rPr>
          <t xml:space="preserve">団体戦出場者に
　　○　印をつける
</t>
        </r>
        <r>
          <rPr>
            <b/>
            <sz val="9"/>
            <color indexed="10"/>
            <rFont val="ＭＳ Ｐゴシック"/>
            <family val="3"/>
            <charset val="128"/>
          </rPr>
          <t>　　（最大８名）</t>
        </r>
      </text>
    </comment>
    <comment ref="L10" authorId="0" shapeId="0" xr:uid="{00000000-0006-0000-0100-000002000000}">
      <text>
        <r>
          <rPr>
            <b/>
            <sz val="9"/>
            <color indexed="10"/>
            <rFont val="ＭＳ Ｐゴシック"/>
            <family val="3"/>
            <charset val="128"/>
          </rPr>
          <t xml:space="preserve">強い順に４組
</t>
        </r>
        <r>
          <rPr>
            <sz val="9"/>
            <color indexed="8"/>
            <rFont val="ＭＳ Ｐゴシック"/>
            <family val="3"/>
            <charset val="128"/>
          </rPr>
          <t>ペアは同じ番号で数字を記入すること</t>
        </r>
      </text>
    </comment>
    <comment ref="M10" authorId="0" shapeId="0" xr:uid="{00000000-0006-0000-0100-000003000000}">
      <text>
        <r>
          <rPr>
            <b/>
            <sz val="9"/>
            <color indexed="10"/>
            <rFont val="ＭＳ Ｐゴシック"/>
            <family val="3"/>
            <charset val="128"/>
          </rPr>
          <t xml:space="preserve">強い順に８人
</t>
        </r>
        <r>
          <rPr>
            <sz val="9"/>
            <color indexed="8"/>
            <rFont val="ＭＳ Ｐゴシック"/>
            <family val="3"/>
            <charset val="128"/>
          </rPr>
          <t>１から順番に番号で数字を記入すること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10" authorId="0" shapeId="0" xr:uid="{00000000-0006-0000-0200-000001000000}">
      <text>
        <r>
          <rPr>
            <sz val="9"/>
            <color indexed="8"/>
            <rFont val="ＭＳ Ｐゴシック"/>
            <family val="3"/>
            <charset val="128"/>
          </rPr>
          <t xml:space="preserve">団体戦出場者に
　　○　印をつける
</t>
        </r>
        <r>
          <rPr>
            <b/>
            <sz val="9"/>
            <color indexed="10"/>
            <rFont val="ＭＳ Ｐゴシック"/>
            <family val="3"/>
            <charset val="128"/>
          </rPr>
          <t>　　（最大８名）</t>
        </r>
      </text>
    </comment>
    <comment ref="L10" authorId="0" shapeId="0" xr:uid="{00000000-0006-0000-0200-000002000000}">
      <text>
        <r>
          <rPr>
            <b/>
            <sz val="9"/>
            <color indexed="10"/>
            <rFont val="ＭＳ Ｐゴシック"/>
            <family val="3"/>
            <charset val="128"/>
          </rPr>
          <t xml:space="preserve">強い順に４組
</t>
        </r>
        <r>
          <rPr>
            <sz val="9"/>
            <color indexed="8"/>
            <rFont val="ＭＳ Ｐゴシック"/>
            <family val="3"/>
            <charset val="128"/>
          </rPr>
          <t>ペアは同じ番号で数字を記入すること</t>
        </r>
      </text>
    </comment>
    <comment ref="M10" authorId="0" shapeId="0" xr:uid="{00000000-0006-0000-0200-000003000000}">
      <text>
        <r>
          <rPr>
            <b/>
            <sz val="9"/>
            <color indexed="10"/>
            <rFont val="ＭＳ Ｐゴシック"/>
            <family val="3"/>
            <charset val="128"/>
          </rPr>
          <t xml:space="preserve">強い順に８人
</t>
        </r>
        <r>
          <rPr>
            <sz val="9"/>
            <color indexed="8"/>
            <rFont val="ＭＳ Ｐゴシック"/>
            <family val="3"/>
            <charset val="128"/>
          </rPr>
          <t>１から順番に番号で数字を記入すること</t>
        </r>
      </text>
    </comment>
  </commentList>
</comments>
</file>

<file path=xl/sharedStrings.xml><?xml version="1.0" encoding="utf-8"?>
<sst xmlns="http://schemas.openxmlformats.org/spreadsheetml/2006/main" count="372" uniqueCount="199">
  <si>
    <t>＝設定メニュー＝</t>
  </si>
  <si>
    <t>処理用!A1</t>
  </si>
  <si>
    <t>学校番号</t>
  </si>
  <si>
    <t>学校名</t>
  </si>
  <si>
    <t>学校名略称</t>
  </si>
  <si>
    <t>校長名</t>
  </si>
  <si>
    <t>郵便番号</t>
  </si>
  <si>
    <t>住所</t>
  </si>
  <si>
    <t>電話番号</t>
  </si>
  <si>
    <t>FAX</t>
  </si>
  <si>
    <t>引率責任者</t>
  </si>
  <si>
    <t>県高校総体締切日</t>
  </si>
  <si>
    <t>一年生大会締切日</t>
  </si>
  <si>
    <t>県新人大会締切日</t>
  </si>
  <si>
    <t>監督の先生方へ</t>
  </si>
  <si>
    <t>　１枚は参加申込書をプリントアウトして、校印を押していただき</t>
  </si>
  <si>
    <t>　実施要項に記載している申込先に、郵送してください。</t>
  </si>
  <si>
    <t>　また、このファイルを、以下のメールアドレスに添付ファイルで送付してください。</t>
  </si>
  <si>
    <t>６　総体卓球競技参加申込書</t>
  </si>
  <si>
    <t>男子</t>
  </si>
  <si>
    <t>女子</t>
  </si>
  <si>
    <t>no.</t>
  </si>
  <si>
    <t>選手名</t>
  </si>
  <si>
    <t>ふりがな</t>
  </si>
  <si>
    <t>学年</t>
  </si>
  <si>
    <t>団体</t>
  </si>
  <si>
    <t>ダブルス</t>
  </si>
  <si>
    <t>シングルス</t>
  </si>
  <si>
    <t>備考</t>
  </si>
  <si>
    <t>監督</t>
  </si>
  <si>
    <t>←監督は１名</t>
  </si>
  <si>
    <t>参加</t>
  </si>
  <si>
    <t>団体戦</t>
  </si>
  <si>
    <t>不参加</t>
  </si>
  <si>
    <t>個人戦</t>
  </si>
  <si>
    <t>参加合計</t>
  </si>
  <si>
    <t>W確認</t>
  </si>
  <si>
    <t>※</t>
  </si>
  <si>
    <t>団体は、参加するものに○印をつけてください。（最大８名）</t>
  </si>
  <si>
    <t>（ダブルスのペアは同番号です）</t>
  </si>
  <si>
    <t>　上記の者は本校の生徒で、標記大会に出場することを認め、参加申し込みをいたします。</t>
  </si>
  <si>
    <t>　高体連個人情報に関する保護方針を承諾したうえで参加申し込みすることに同意します。</t>
  </si>
  <si>
    <t>（８名）</t>
  </si>
  <si>
    <t>（４組）</t>
  </si>
  <si>
    <t>６　一年生卓球競技参加申込書</t>
  </si>
  <si>
    <t>（制限なし）</t>
  </si>
  <si>
    <t>６　新人卓球競技参加申込書</t>
  </si>
  <si>
    <t>男子処理用!A1</t>
  </si>
  <si>
    <t>戻る</t>
  </si>
  <si>
    <t>処理用!A2</t>
  </si>
  <si>
    <t>D</t>
    <phoneticPr fontId="16"/>
  </si>
  <si>
    <t>S</t>
    <phoneticPr fontId="16"/>
  </si>
  <si>
    <t>姓</t>
    <rPh sb="0" eb="1">
      <t>セイ</t>
    </rPh>
    <phoneticPr fontId="16"/>
  </si>
  <si>
    <t>名</t>
    <rPh sb="0" eb="1">
      <t>メイ</t>
    </rPh>
    <phoneticPr fontId="16"/>
  </si>
  <si>
    <t>大会名</t>
    <rPh sb="0" eb="3">
      <t>タイカイメイ</t>
    </rPh>
    <phoneticPr fontId="16"/>
  </si>
  <si>
    <t>高校総体</t>
    <rPh sb="0" eb="2">
      <t>コウコウ</t>
    </rPh>
    <rPh sb="2" eb="4">
      <t>ソウタイ</t>
    </rPh>
    <phoneticPr fontId="16"/>
  </si>
  <si>
    <t>１年生大会</t>
    <rPh sb="1" eb="3">
      <t>ネンセイ</t>
    </rPh>
    <rPh sb="3" eb="5">
      <t>タイカイ</t>
    </rPh>
    <phoneticPr fontId="16"/>
  </si>
  <si>
    <t>新人大会</t>
    <rPh sb="0" eb="2">
      <t>シンジン</t>
    </rPh>
    <rPh sb="2" eb="4">
      <t>タイカイ</t>
    </rPh>
    <phoneticPr fontId="16"/>
  </si>
  <si>
    <t>女子</t>
    <rPh sb="0" eb="2">
      <t>ジョシ</t>
    </rPh>
    <phoneticPr fontId="16"/>
  </si>
  <si>
    <t>チーム名</t>
    <rPh sb="3" eb="4">
      <t>メイ</t>
    </rPh>
    <phoneticPr fontId="16"/>
  </si>
  <si>
    <t>監督</t>
    <rPh sb="0" eb="2">
      <t>カントク</t>
    </rPh>
    <phoneticPr fontId="17"/>
  </si>
  <si>
    <t>学年</t>
    <rPh sb="0" eb="2">
      <t>ガクネン</t>
    </rPh>
    <phoneticPr fontId="17"/>
  </si>
  <si>
    <t>no.</t>
    <phoneticPr fontId="16"/>
  </si>
  <si>
    <t>性別</t>
    <rPh sb="0" eb="2">
      <t>セイベツ</t>
    </rPh>
    <phoneticPr fontId="16"/>
  </si>
  <si>
    <t>男</t>
    <rPh sb="0" eb="1">
      <t>オトコ</t>
    </rPh>
    <phoneticPr fontId="16"/>
  </si>
  <si>
    <t>－</t>
    <phoneticPr fontId="16"/>
  </si>
  <si>
    <t>女</t>
    <rPh sb="0" eb="1">
      <t>オンナ</t>
    </rPh>
    <phoneticPr fontId="16"/>
  </si>
  <si>
    <t>団体</t>
    <rPh sb="0" eb="2">
      <t>ダンタイ</t>
    </rPh>
    <phoneticPr fontId="16"/>
  </si>
  <si>
    <t>参加</t>
    <rPh sb="0" eb="2">
      <t>サンカ</t>
    </rPh>
    <phoneticPr fontId="16"/>
  </si>
  <si>
    <t>S</t>
    <phoneticPr fontId="16"/>
  </si>
  <si>
    <t>順位</t>
    <rPh sb="0" eb="2">
      <t>ジュンイ</t>
    </rPh>
    <phoneticPr fontId="16"/>
  </si>
  <si>
    <t>学校名</t>
    <rPh sb="0" eb="3">
      <t>ガッコウメイ</t>
    </rPh>
    <phoneticPr fontId="16"/>
  </si>
  <si>
    <t>名前</t>
    <rPh sb="0" eb="2">
      <t>ナマエ</t>
    </rPh>
    <phoneticPr fontId="16"/>
  </si>
  <si>
    <t>名前（学年）</t>
    <rPh sb="0" eb="2">
      <t>ナマエ</t>
    </rPh>
    <rPh sb="3" eb="5">
      <t>ガクネン</t>
    </rPh>
    <phoneticPr fontId="16"/>
  </si>
  <si>
    <t>番号</t>
    <rPh sb="0" eb="2">
      <t>バンゴウ</t>
    </rPh>
    <phoneticPr fontId="16"/>
  </si>
  <si>
    <t>名前１</t>
    <rPh sb="0" eb="2">
      <t>ナマエ</t>
    </rPh>
    <phoneticPr fontId="16"/>
  </si>
  <si>
    <t>名前２・学年</t>
    <rPh sb="0" eb="2">
      <t>ナマエ</t>
    </rPh>
    <rPh sb="4" eb="6">
      <t>ガクネン</t>
    </rPh>
    <phoneticPr fontId="16"/>
  </si>
  <si>
    <t>S/D</t>
    <phoneticPr fontId="16"/>
  </si>
  <si>
    <t>処理用!A1</t>
    <phoneticPr fontId="16"/>
  </si>
  <si>
    <t>名前</t>
    <rPh sb="0" eb="2">
      <t>ナマエ</t>
    </rPh>
    <phoneticPr fontId="16"/>
  </si>
  <si>
    <t>学校名</t>
    <rPh sb="0" eb="3">
      <t>ガッコウメイ</t>
    </rPh>
    <phoneticPr fontId="16"/>
  </si>
  <si>
    <t>所在地</t>
    <rPh sb="0" eb="3">
      <t>ショザイチ</t>
    </rPh>
    <phoneticPr fontId="16"/>
  </si>
  <si>
    <t>電話・ＦＡＸ</t>
    <rPh sb="0" eb="2">
      <t>デンワ</t>
    </rPh>
    <phoneticPr fontId="16"/>
  </si>
  <si>
    <t>引率責任者</t>
    <rPh sb="0" eb="2">
      <t>インソツ</t>
    </rPh>
    <rPh sb="2" eb="5">
      <t>セキニンシャ</t>
    </rPh>
    <phoneticPr fontId="16"/>
  </si>
  <si>
    <t>印</t>
    <rPh sb="0" eb="1">
      <t>イン</t>
    </rPh>
    <phoneticPr fontId="16"/>
  </si>
  <si>
    <t>校長</t>
    <rPh sb="0" eb="2">
      <t>コウチョウ</t>
    </rPh>
    <phoneticPr fontId="16"/>
  </si>
  <si>
    <t>校長</t>
    <rPh sb="0" eb="2">
      <t>コウチョウ</t>
    </rPh>
    <phoneticPr fontId="16"/>
  </si>
  <si>
    <t>五ヶ瀬</t>
  </si>
  <si>
    <t>高千穂</t>
    <rPh sb="0" eb="3">
      <t>タカチホ</t>
    </rPh>
    <phoneticPr fontId="25"/>
  </si>
  <si>
    <t>延岡学園</t>
  </si>
  <si>
    <t>延岡商業</t>
    <rPh sb="0" eb="2">
      <t>ノベオカ</t>
    </rPh>
    <rPh sb="2" eb="4">
      <t>ショウギョウ</t>
    </rPh>
    <phoneticPr fontId="25"/>
  </si>
  <si>
    <t>延岡星雲</t>
    <rPh sb="0" eb="2">
      <t>ノベオカ</t>
    </rPh>
    <rPh sb="2" eb="4">
      <t>セイウン</t>
    </rPh>
    <phoneticPr fontId="25"/>
  </si>
  <si>
    <t>延岡</t>
    <rPh sb="0" eb="2">
      <t>ノベオカ</t>
    </rPh>
    <phoneticPr fontId="25"/>
  </si>
  <si>
    <t>延岡工業</t>
    <rPh sb="0" eb="2">
      <t>ノベオカ</t>
    </rPh>
    <rPh sb="2" eb="4">
      <t>コウギョウ</t>
    </rPh>
    <phoneticPr fontId="25"/>
  </si>
  <si>
    <t>聖心ウルスラ</t>
    <rPh sb="0" eb="2">
      <t>セイシン</t>
    </rPh>
    <phoneticPr fontId="25"/>
  </si>
  <si>
    <t>門川</t>
    <rPh sb="0" eb="2">
      <t>カドガワ</t>
    </rPh>
    <phoneticPr fontId="25"/>
  </si>
  <si>
    <t>富島</t>
    <rPh sb="0" eb="2">
      <t>トミシマ</t>
    </rPh>
    <phoneticPr fontId="25"/>
  </si>
  <si>
    <t>日向</t>
    <rPh sb="0" eb="2">
      <t>ヒュウガ</t>
    </rPh>
    <phoneticPr fontId="25"/>
  </si>
  <si>
    <t>日向工業</t>
    <rPh sb="0" eb="2">
      <t>ヒュウガ</t>
    </rPh>
    <rPh sb="2" eb="4">
      <t>コウギョウ</t>
    </rPh>
    <phoneticPr fontId="25"/>
  </si>
  <si>
    <t>都農</t>
    <phoneticPr fontId="25"/>
  </si>
  <si>
    <t>高鍋農業</t>
    <rPh sb="0" eb="2">
      <t>タカナベ</t>
    </rPh>
    <rPh sb="2" eb="4">
      <t>ノウギョウ</t>
    </rPh>
    <phoneticPr fontId="25"/>
  </si>
  <si>
    <t>高鍋</t>
    <rPh sb="0" eb="2">
      <t>タカナベ</t>
    </rPh>
    <phoneticPr fontId="25"/>
  </si>
  <si>
    <t>妻</t>
  </si>
  <si>
    <t>西都商業</t>
    <rPh sb="0" eb="2">
      <t>サイト</t>
    </rPh>
    <rPh sb="2" eb="4">
      <t>ショウギョウ</t>
    </rPh>
    <phoneticPr fontId="25"/>
  </si>
  <si>
    <t>佐土原</t>
    <rPh sb="0" eb="3">
      <t>サドワラ</t>
    </rPh>
    <phoneticPr fontId="25"/>
  </si>
  <si>
    <t>本庄</t>
    <rPh sb="0" eb="2">
      <t>ホンジョウ</t>
    </rPh>
    <phoneticPr fontId="25"/>
  </si>
  <si>
    <t>宮崎日本大学</t>
    <rPh sb="2" eb="4">
      <t>ニッポン</t>
    </rPh>
    <rPh sb="4" eb="6">
      <t>ダイガク</t>
    </rPh>
    <phoneticPr fontId="25"/>
  </si>
  <si>
    <t>日章学園</t>
    <rPh sb="0" eb="1">
      <t>ニチ</t>
    </rPh>
    <rPh sb="1" eb="2">
      <t>ショウ</t>
    </rPh>
    <rPh sb="2" eb="4">
      <t>ガクエン</t>
    </rPh>
    <phoneticPr fontId="25"/>
  </si>
  <si>
    <t>宮崎北</t>
    <phoneticPr fontId="25"/>
  </si>
  <si>
    <t>宮崎大宮</t>
    <rPh sb="0" eb="2">
      <t>ミヤザキ</t>
    </rPh>
    <rPh sb="2" eb="4">
      <t>オオミヤ</t>
    </rPh>
    <phoneticPr fontId="25"/>
  </si>
  <si>
    <t>日向学院</t>
    <rPh sb="0" eb="2">
      <t>ヒュウガ</t>
    </rPh>
    <rPh sb="2" eb="4">
      <t>ガクイン</t>
    </rPh>
    <phoneticPr fontId="25"/>
  </si>
  <si>
    <t>宮崎学園</t>
    <rPh sb="0" eb="2">
      <t>ミヤザキ</t>
    </rPh>
    <rPh sb="2" eb="4">
      <t>ガクエン</t>
    </rPh>
    <phoneticPr fontId="25"/>
  </si>
  <si>
    <t>宮崎商業</t>
    <rPh sb="0" eb="2">
      <t>ミヤザキ</t>
    </rPh>
    <rPh sb="2" eb="4">
      <t>ショウギョウ</t>
    </rPh>
    <phoneticPr fontId="25"/>
  </si>
  <si>
    <t>宮崎海洋</t>
  </si>
  <si>
    <t>宮崎工業</t>
    <rPh sb="0" eb="2">
      <t>ミヤザキ</t>
    </rPh>
    <rPh sb="2" eb="4">
      <t>コウギョウ</t>
    </rPh>
    <phoneticPr fontId="25"/>
  </si>
  <si>
    <t>宮崎農業</t>
    <rPh sb="0" eb="2">
      <t>ミヤザキ</t>
    </rPh>
    <rPh sb="2" eb="4">
      <t>ノウギョウ</t>
    </rPh>
    <phoneticPr fontId="25"/>
  </si>
  <si>
    <t>宮崎西</t>
    <rPh sb="0" eb="2">
      <t>ミヤザキ</t>
    </rPh>
    <rPh sb="2" eb="3">
      <t>ニシ</t>
    </rPh>
    <phoneticPr fontId="25"/>
  </si>
  <si>
    <t>宮崎南</t>
    <rPh sb="0" eb="2">
      <t>ミヤザキ</t>
    </rPh>
    <rPh sb="2" eb="3">
      <t>ミナミ</t>
    </rPh>
    <phoneticPr fontId="25"/>
  </si>
  <si>
    <t>宮崎第一</t>
    <rPh sb="0" eb="2">
      <t>ミヤザキ</t>
    </rPh>
    <rPh sb="2" eb="4">
      <t>ダイイチ</t>
    </rPh>
    <phoneticPr fontId="25"/>
  </si>
  <si>
    <t>鵬翔</t>
    <rPh sb="0" eb="1">
      <t>ホウ</t>
    </rPh>
    <rPh sb="1" eb="2">
      <t>ショウ</t>
    </rPh>
    <phoneticPr fontId="25"/>
  </si>
  <si>
    <t>日南学園宮崎穎学館</t>
    <rPh sb="0" eb="2">
      <t>ニチナン</t>
    </rPh>
    <rPh sb="2" eb="4">
      <t>ガクエン</t>
    </rPh>
    <rPh sb="4" eb="6">
      <t>ミヤザキ</t>
    </rPh>
    <rPh sb="6" eb="7">
      <t>エイ</t>
    </rPh>
    <rPh sb="7" eb="9">
      <t>ガッカン</t>
    </rPh>
    <phoneticPr fontId="25"/>
  </si>
  <si>
    <t>日南</t>
    <phoneticPr fontId="25"/>
  </si>
  <si>
    <t>日南振徳</t>
    <rPh sb="0" eb="2">
      <t>ニチナン</t>
    </rPh>
    <rPh sb="2" eb="3">
      <t>シン</t>
    </rPh>
    <rPh sb="3" eb="4">
      <t>トク</t>
    </rPh>
    <phoneticPr fontId="25"/>
  </si>
  <si>
    <t>日南学園</t>
    <rPh sb="0" eb="2">
      <t>ニチナン</t>
    </rPh>
    <rPh sb="2" eb="4">
      <t>ガクエン</t>
    </rPh>
    <phoneticPr fontId="25"/>
  </si>
  <si>
    <t>福島</t>
    <rPh sb="0" eb="2">
      <t>フクシマ</t>
    </rPh>
    <phoneticPr fontId="25"/>
  </si>
  <si>
    <t>高城</t>
  </si>
  <si>
    <t>都城農業</t>
    <rPh sb="0" eb="2">
      <t>ミヤコノジョウ</t>
    </rPh>
    <rPh sb="2" eb="4">
      <t>ノウギョウ</t>
    </rPh>
    <phoneticPr fontId="25"/>
  </si>
  <si>
    <t>都城商業</t>
    <rPh sb="0" eb="2">
      <t>ミヤコノジョウ</t>
    </rPh>
    <rPh sb="2" eb="4">
      <t>ショウギョウ</t>
    </rPh>
    <phoneticPr fontId="25"/>
  </si>
  <si>
    <t>都城泉ヶ丘</t>
    <rPh sb="0" eb="2">
      <t>ミヤコノジョウ</t>
    </rPh>
    <rPh sb="2" eb="5">
      <t>イズミガオカ</t>
    </rPh>
    <phoneticPr fontId="25"/>
  </si>
  <si>
    <t>都城西</t>
    <rPh sb="0" eb="2">
      <t>ミヤコノジョウ</t>
    </rPh>
    <rPh sb="2" eb="3">
      <t>ニシ</t>
    </rPh>
    <phoneticPr fontId="25"/>
  </si>
  <si>
    <t>都城工業</t>
    <rPh sb="0" eb="2">
      <t>ミヤコノジョウ</t>
    </rPh>
    <rPh sb="2" eb="4">
      <t>コウギョウ</t>
    </rPh>
    <phoneticPr fontId="25"/>
  </si>
  <si>
    <t>都城</t>
    <rPh sb="0" eb="2">
      <t>ミヤコノジョウ</t>
    </rPh>
    <phoneticPr fontId="25"/>
  </si>
  <si>
    <t>都城東</t>
    <rPh sb="0" eb="2">
      <t>ミヤコノジョウ</t>
    </rPh>
    <rPh sb="2" eb="3">
      <t>ヒガシ</t>
    </rPh>
    <phoneticPr fontId="25"/>
  </si>
  <si>
    <t>聖ドミニコ学園</t>
    <rPh sb="5" eb="7">
      <t>ガクエン</t>
    </rPh>
    <phoneticPr fontId="25"/>
  </si>
  <si>
    <t>小林</t>
    <rPh sb="0" eb="2">
      <t>コバヤシ</t>
    </rPh>
    <phoneticPr fontId="25"/>
  </si>
  <si>
    <t>小林秀峰</t>
    <rPh sb="0" eb="2">
      <t>コバヤシ</t>
    </rPh>
    <rPh sb="2" eb="4">
      <t>シュウホウ</t>
    </rPh>
    <phoneticPr fontId="25"/>
  </si>
  <si>
    <t>小林西</t>
    <rPh sb="0" eb="2">
      <t>コバヤシ</t>
    </rPh>
    <rPh sb="2" eb="3">
      <t>ニシ</t>
    </rPh>
    <phoneticPr fontId="25"/>
  </si>
  <si>
    <t>高原</t>
    <rPh sb="0" eb="2">
      <t>タカハル</t>
    </rPh>
    <phoneticPr fontId="25"/>
  </si>
  <si>
    <t>飯野</t>
    <rPh sb="0" eb="2">
      <t>イイノ</t>
    </rPh>
    <phoneticPr fontId="25"/>
  </si>
  <si>
    <t>都城高専</t>
    <rPh sb="0" eb="2">
      <t>ミヤコノジョウ</t>
    </rPh>
    <rPh sb="2" eb="4">
      <t>コウセン</t>
    </rPh>
    <phoneticPr fontId="25"/>
  </si>
  <si>
    <t>五ヶ瀬高等学校</t>
  </si>
  <si>
    <t>高千穂高等学校</t>
  </si>
  <si>
    <t>延岡学園高等学校</t>
  </si>
  <si>
    <t>延岡商業高等学校</t>
  </si>
  <si>
    <t>延岡星雲高等学校</t>
  </si>
  <si>
    <t>延岡高等学校</t>
  </si>
  <si>
    <t>延岡工業高等学校</t>
  </si>
  <si>
    <t>門川高等学校</t>
  </si>
  <si>
    <t>富島高等学校</t>
  </si>
  <si>
    <t>日向高等学校</t>
  </si>
  <si>
    <t>日向工業高等学校</t>
  </si>
  <si>
    <t>高鍋農業高等学校</t>
  </si>
  <si>
    <t>高鍋高等学校</t>
  </si>
  <si>
    <t>妻高等学校</t>
  </si>
  <si>
    <t>佐土原高等学校</t>
  </si>
  <si>
    <t>本庄高等学校</t>
  </si>
  <si>
    <t>宮崎日本大学高等学校</t>
  </si>
  <si>
    <t>日章学園高等学校</t>
  </si>
  <si>
    <t>宮崎北高等学校</t>
  </si>
  <si>
    <t>宮崎大宮高等学校</t>
  </si>
  <si>
    <t>日向学院高等学校</t>
  </si>
  <si>
    <t>宮崎学園高等学校</t>
  </si>
  <si>
    <t>宮崎商業高等学校</t>
  </si>
  <si>
    <t>宮崎海洋高等学校</t>
  </si>
  <si>
    <t>宮崎工業高等学校</t>
  </si>
  <si>
    <t>宮崎農業高等学校</t>
  </si>
  <si>
    <t>宮崎西高等学校</t>
  </si>
  <si>
    <t>宮崎南高等学校</t>
  </si>
  <si>
    <t>宮崎第一高等学校</t>
  </si>
  <si>
    <t>鵬翔高等学校</t>
  </si>
  <si>
    <t>日南学園宮崎穎学館高等学校</t>
  </si>
  <si>
    <t>日南高等学校</t>
  </si>
  <si>
    <t>日南振徳高等学校</t>
  </si>
  <si>
    <t>日南学園高等学校</t>
  </si>
  <si>
    <t>福島高等学校</t>
  </si>
  <si>
    <t>高城高等学校</t>
  </si>
  <si>
    <t>都城農業高等学校</t>
  </si>
  <si>
    <t>都城商業高等学校</t>
  </si>
  <si>
    <t>都城泉ヶ丘高等学校</t>
  </si>
  <si>
    <t>都城西高等学校</t>
  </si>
  <si>
    <t>都城工業高等学校</t>
  </si>
  <si>
    <t>都城高等学校</t>
  </si>
  <si>
    <t>都城東高等学校</t>
  </si>
  <si>
    <t>小林高等学校</t>
  </si>
  <si>
    <t>小林秀峰高等学校</t>
  </si>
  <si>
    <t>小林西高等学校</t>
  </si>
  <si>
    <t>飯野高等学校</t>
  </si>
  <si>
    <t>聖心ウルスラ学園高等学校</t>
    <rPh sb="6" eb="8">
      <t>ガクエン</t>
    </rPh>
    <phoneticPr fontId="16"/>
  </si>
  <si>
    <t>都城工業高等専門学校</t>
    <rPh sb="2" eb="4">
      <t>コウギョウ</t>
    </rPh>
    <rPh sb="4" eb="6">
      <t>コウトウ</t>
    </rPh>
    <rPh sb="6" eb="8">
      <t>センモン</t>
    </rPh>
    <phoneticPr fontId="16"/>
  </si>
  <si>
    <t>都城聖ドミニコ学園高等学校</t>
    <rPh sb="0" eb="2">
      <t>ミヤコノジョウ</t>
    </rPh>
    <phoneticPr fontId="16"/>
  </si>
  <si>
    <t>学校番号</t>
    <rPh sb="0" eb="2">
      <t>ガッコウ</t>
    </rPh>
    <rPh sb="2" eb="4">
      <t>バンゴウ</t>
    </rPh>
    <phoneticPr fontId="16"/>
  </si>
  <si>
    <t>略名</t>
    <rPh sb="0" eb="1">
      <t>リャク</t>
    </rPh>
    <rPh sb="1" eb="2">
      <t>メイ</t>
    </rPh>
    <phoneticPr fontId="16"/>
  </si>
  <si>
    <t>←設定へ戻る</t>
    <rPh sb="1" eb="3">
      <t>セッテイ</t>
    </rPh>
    <rPh sb="4" eb="5">
      <t>モド</t>
    </rPh>
    <phoneticPr fontId="16"/>
  </si>
  <si>
    <t>平成　３０　年　○○　月　○○　日</t>
    <phoneticPr fontId="16"/>
  </si>
  <si>
    <t>平成　３０　年　○○　月　○○　日</t>
    <phoneticPr fontId="16"/>
  </si>
  <si>
    <t>mk-takkyuu@miyazaki-c.ed.jp</t>
    <phoneticPr fontId="16"/>
  </si>
  <si>
    <t>令和6年4月26日（金）</t>
    <rPh sb="0" eb="2">
      <t>レイワ</t>
    </rPh>
    <rPh sb="3" eb="4">
      <t>ネン</t>
    </rPh>
    <rPh sb="10" eb="11">
      <t>キン</t>
    </rPh>
    <phoneticPr fontId="16"/>
  </si>
  <si>
    <t>令和6年7月18日（木）</t>
    <rPh sb="0" eb="2">
      <t>レイワ</t>
    </rPh>
    <rPh sb="10" eb="11">
      <t>モク</t>
    </rPh>
    <phoneticPr fontId="16"/>
  </si>
  <si>
    <t>令和6年9月17日（火）</t>
    <rPh sb="0" eb="2">
      <t>レイワ</t>
    </rPh>
    <rPh sb="10" eb="11">
      <t>ヒ</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</si>
</sst>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quot; 名&quot;"/>
    <numFmt numFmtId="178" formatCode="&quot;選&quot;&quot;手&quot;#"/>
  </numFmts>
  <fonts count="27" x14ac:knownFonts="1">
    <font>
      <sz val="11"/>
      <name val="ＭＳ Ｐゴシック"/>
      <family val="3"/>
      <charset val="128"/>
    </font>
    <font>
      <sz val="18"/>
      <name val="ＭＳ Ｐゴシック"/>
      <family val="3"/>
      <charset val="128"/>
    </font>
    <font>
      <u/>
      <sz val="11"/>
      <color indexed="9"/>
      <name val="ＭＳ Ｐゴシック"/>
      <family val="3"/>
      <charset val="128"/>
    </font>
    <font>
      <u/>
      <sz val="11"/>
      <color indexed="12"/>
      <name val="ＭＳ Ｐゴシック"/>
      <family val="3"/>
      <charset val="128"/>
    </font>
    <font>
      <sz val="9"/>
      <name val="ＭＳ Ｐゴシック"/>
      <family val="3"/>
      <charset val="128"/>
    </font>
    <font>
      <sz val="11"/>
      <name val="ＭＳ 明朝"/>
      <family val="1"/>
      <charset val="128"/>
    </font>
    <font>
      <sz val="16"/>
      <name val="ＭＳ 明朝"/>
      <family val="1"/>
      <charset val="128"/>
    </font>
    <font>
      <sz val="9"/>
      <color indexed="8"/>
      <name val="ＭＳ Ｐゴシック"/>
      <family val="3"/>
      <charset val="128"/>
    </font>
    <font>
      <b/>
      <sz val="22"/>
      <name val="ＭＳ 明朝"/>
      <family val="1"/>
      <charset val="128"/>
    </font>
    <font>
      <sz val="8"/>
      <name val="ＭＳ 明朝"/>
      <family val="1"/>
      <charset val="128"/>
    </font>
    <font>
      <b/>
      <sz val="9"/>
      <color indexed="10"/>
      <name val="ＭＳ Ｐゴシック"/>
      <family val="3"/>
      <charset val="128"/>
    </font>
    <font>
      <sz val="10"/>
      <name val="ＭＳ 明朝"/>
      <family val="1"/>
      <charset val="128"/>
    </font>
    <font>
      <sz val="12"/>
      <name val="ＭＳ 明朝"/>
      <family val="1"/>
      <charset val="128"/>
    </font>
    <font>
      <u/>
      <sz val="11"/>
      <name val="ＭＳ 明朝"/>
      <family val="1"/>
      <charset val="128"/>
    </font>
    <font>
      <b/>
      <sz val="11"/>
      <name val="ＭＳ 明朝"/>
      <family val="1"/>
      <charset val="128"/>
    </font>
    <font>
      <sz val="11"/>
      <color indexed="10"/>
      <name val="ＭＳ 明朝"/>
      <family val="1"/>
      <charset val="128"/>
    </font>
    <font>
      <sz val="6"/>
      <name val="ＭＳ Ｐゴシック"/>
      <family val="3"/>
      <charset val="128"/>
    </font>
    <font>
      <sz val="6"/>
      <name val="ＭＳ Ｐゴシック"/>
      <family val="3"/>
      <charset val="128"/>
    </font>
    <font>
      <sz val="11"/>
      <color theme="1"/>
      <name val="ＭＳ 明朝"/>
      <family val="1"/>
      <charset val="128"/>
    </font>
    <font>
      <sz val="9"/>
      <color rgb="FF000000"/>
      <name val="Meiryo UI"/>
      <family val="3"/>
      <charset val="128"/>
    </font>
    <font>
      <sz val="11"/>
      <color theme="0"/>
      <name val="ＭＳ 明朝"/>
      <family val="1"/>
      <charset val="128"/>
    </font>
    <font>
      <sz val="10"/>
      <color theme="1"/>
      <name val="ＭＳ 明朝"/>
      <family val="1"/>
      <charset val="128"/>
    </font>
    <font>
      <sz val="9"/>
      <color theme="1"/>
      <name val="ＭＳ 明朝"/>
      <family val="1"/>
      <charset val="128"/>
    </font>
    <font>
      <sz val="9"/>
      <name val="ＭＳ 明朝"/>
      <family val="1"/>
      <charset val="128"/>
    </font>
    <font>
      <b/>
      <u/>
      <sz val="14"/>
      <name val="ＭＳ 明朝"/>
      <family val="1"/>
      <charset val="128"/>
    </font>
    <font>
      <sz val="6"/>
      <name val="ＭＳ ゴシック"/>
      <family val="3"/>
      <charset val="128"/>
    </font>
    <font>
      <sz val="10"/>
      <name val="ＭＳ Ｐゴシック"/>
      <family val="3"/>
      <charset val="128"/>
    </font>
  </fonts>
  <fills count="12">
    <fill>
      <patternFill patternType="none"/>
    </fill>
    <fill>
      <patternFill patternType="gray125"/>
    </fill>
    <fill>
      <patternFill patternType="solid">
        <fgColor indexed="27"/>
        <bgColor indexed="41"/>
      </patternFill>
    </fill>
    <fill>
      <patternFill patternType="solid">
        <fgColor rgb="FFFFFF00"/>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rgb="FFFFCCFF"/>
        <bgColor indexed="64"/>
      </patternFill>
    </fill>
    <fill>
      <patternFill patternType="solid">
        <fgColor rgb="FFCCFFCC"/>
        <bgColor indexed="26"/>
      </patternFill>
    </fill>
    <fill>
      <patternFill patternType="solid">
        <fgColor rgb="FFCCFFCC"/>
        <bgColor indexed="41"/>
      </patternFill>
    </fill>
    <fill>
      <patternFill patternType="solid">
        <fgColor rgb="FFF7FFF7"/>
        <bgColor indexed="64"/>
      </patternFill>
    </fill>
    <fill>
      <patternFill patternType="solid">
        <fgColor rgb="FFFFFFCC"/>
        <bgColor indexed="64"/>
      </patternFill>
    </fill>
    <fill>
      <patternFill patternType="solid">
        <fgColor rgb="FFE5FFE5"/>
        <bgColor indexed="64"/>
      </patternFill>
    </fill>
  </fills>
  <borders count="57">
    <border>
      <left/>
      <right/>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diagonalUp="1">
      <left style="thin">
        <color indexed="8"/>
      </left>
      <right style="thin">
        <color indexed="8"/>
      </right>
      <top style="double">
        <color indexed="8"/>
      </top>
      <bottom style="double">
        <color indexed="8"/>
      </bottom>
      <diagonal style="thin">
        <color indexed="8"/>
      </diagonal>
    </border>
    <border diagonalUp="1">
      <left style="thin">
        <color indexed="8"/>
      </left>
      <right style="medium">
        <color indexed="8"/>
      </right>
      <top style="double">
        <color indexed="8"/>
      </top>
      <bottom style="double">
        <color indexed="8"/>
      </bottom>
      <diagonal style="thin">
        <color indexed="8"/>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bottom style="double">
        <color indexed="8"/>
      </bottom>
      <diagonal/>
    </border>
    <border>
      <left style="medium">
        <color indexed="8"/>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top/>
      <bottom style="thin">
        <color indexed="8"/>
      </bottom>
      <diagonal/>
    </border>
    <border>
      <left style="hair">
        <color indexed="8"/>
      </left>
      <right style="thin">
        <color indexed="8"/>
      </right>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bottom style="medium">
        <color indexed="8"/>
      </bottom>
      <diagonal/>
    </border>
    <border>
      <left style="hair">
        <color indexed="8"/>
      </left>
      <right style="thin">
        <color indexed="8"/>
      </right>
      <top/>
      <bottom style="medium">
        <color indexed="8"/>
      </bottom>
      <diagonal/>
    </border>
    <border>
      <left style="medium">
        <color indexed="64"/>
      </left>
      <right style="medium">
        <color indexed="64"/>
      </right>
      <top style="medium">
        <color indexed="64"/>
      </top>
      <bottom style="medium">
        <color indexed="64"/>
      </bottom>
      <diagonal/>
    </border>
    <border>
      <left style="hair">
        <color indexed="8"/>
      </left>
      <right style="thin">
        <color indexed="8"/>
      </right>
      <top style="double">
        <color indexed="8"/>
      </top>
      <bottom style="double">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style="double">
        <color indexed="8"/>
      </top>
      <bottom style="double">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double">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style="thin">
        <color indexed="8"/>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hair">
        <color indexed="8"/>
      </left>
      <right style="thin">
        <color indexed="8"/>
      </right>
      <top/>
      <bottom style="double">
        <color indexed="8"/>
      </bottom>
      <diagonal/>
    </border>
    <border>
      <left/>
      <right style="thin">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Protection="0">
      <alignment vertical="center"/>
    </xf>
  </cellStyleXfs>
  <cellXfs count="152">
    <xf numFmtId="0" fontId="0" fillId="0" borderId="0" xfId="0">
      <alignment vertical="center"/>
    </xf>
    <xf numFmtId="0" fontId="2" fillId="0" borderId="0" xfId="1" applyNumberFormat="1" applyFont="1" applyFill="1" applyBorder="1" applyProtection="1">
      <alignment vertical="center"/>
    </xf>
    <xf numFmtId="0" fontId="0" fillId="2" borderId="1" xfId="0" applyFill="1" applyBorder="1" applyAlignment="1">
      <alignment horizontal="justify" vertical="center" indent="1"/>
    </xf>
    <xf numFmtId="0" fontId="0" fillId="0" borderId="1" xfId="0" applyBorder="1" applyAlignment="1" applyProtection="1">
      <alignment horizontal="center" vertical="center"/>
      <protection locked="0"/>
    </xf>
    <xf numFmtId="0" fontId="0" fillId="0" borderId="0" xfId="0" applyAlignment="1">
      <alignment horizontal="justify" vertical="center" indent="1"/>
    </xf>
    <xf numFmtId="0" fontId="0" fillId="0" borderId="0" xfId="0"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1" fillId="0" borderId="2" xfId="0" applyFont="1" applyBorder="1" applyAlignment="1">
      <alignment horizontal="center" vertical="center" textRotation="255"/>
    </xf>
    <xf numFmtId="0" fontId="11" fillId="0" borderId="3"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0" fontId="9" fillId="0" borderId="7" xfId="0" applyFont="1" applyBorder="1" applyAlignment="1" applyProtection="1">
      <alignment horizontal="left"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4" fillId="0" borderId="0" xfId="0" applyFont="1">
      <alignment vertical="center"/>
    </xf>
    <xf numFmtId="0" fontId="11" fillId="0" borderId="9" xfId="0" applyFont="1" applyBorder="1" applyAlignment="1">
      <alignment horizontal="center" vertical="center"/>
    </xf>
    <xf numFmtId="0" fontId="9" fillId="0" borderId="1"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5" fillId="0" borderId="0" xfId="0" applyFont="1" applyProtection="1">
      <alignment vertical="center"/>
      <protection hidden="1"/>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1" fillId="0" borderId="13" xfId="0" applyFont="1" applyBorder="1" applyAlignment="1">
      <alignment horizontal="center" vertical="center"/>
    </xf>
    <xf numFmtId="0" fontId="9" fillId="0" borderId="14" xfId="0" applyFont="1" applyBorder="1" applyAlignment="1" applyProtection="1">
      <alignment horizontal="left" vertical="center"/>
      <protection locked="0"/>
    </xf>
    <xf numFmtId="0" fontId="12" fillId="0" borderId="14" xfId="0" applyFont="1" applyBorder="1" applyAlignment="1" applyProtection="1">
      <alignment horizontal="center" vertical="center"/>
      <protection locked="0"/>
    </xf>
    <xf numFmtId="0" fontId="11" fillId="0" borderId="0" xfId="0" applyFont="1">
      <alignment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5" fillId="0" borderId="0" xfId="0" applyFont="1" applyAlignment="1">
      <alignment horizontal="right" vertical="center"/>
    </xf>
    <xf numFmtId="0" fontId="15" fillId="0" borderId="0" xfId="0" applyFont="1">
      <alignment vertical="center"/>
    </xf>
    <xf numFmtId="0" fontId="15" fillId="0" borderId="0" xfId="0" applyFont="1" applyAlignment="1">
      <alignment horizontal="center" vertical="center"/>
    </xf>
    <xf numFmtId="176" fontId="15" fillId="0" borderId="0" xfId="0" applyNumberFormat="1" applyFont="1" applyAlignment="1">
      <alignment horizontal="left" vertical="center"/>
    </xf>
    <xf numFmtId="0" fontId="15" fillId="0" borderId="0" xfId="0" applyFont="1" applyProtection="1">
      <alignment vertical="center"/>
      <protection locked="0"/>
    </xf>
    <xf numFmtId="0" fontId="15"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0" fillId="0" borderId="1" xfId="0" applyBorder="1" applyProtection="1">
      <alignment vertical="center"/>
      <protection locked="0"/>
    </xf>
    <xf numFmtId="0" fontId="4" fillId="0" borderId="0" xfId="0" applyFont="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5" fillId="0" borderId="28" xfId="0" applyFont="1" applyBorder="1" applyAlignment="1">
      <alignment horizontal="center" vertical="center"/>
    </xf>
    <xf numFmtId="0" fontId="5" fillId="0" borderId="28"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31"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5" fillId="3" borderId="0" xfId="0" applyFont="1" applyFill="1">
      <alignment vertical="center"/>
    </xf>
    <xf numFmtId="0" fontId="5" fillId="4" borderId="0" xfId="0" applyFont="1" applyFill="1">
      <alignment vertical="center"/>
    </xf>
    <xf numFmtId="0" fontId="12" fillId="0" borderId="37"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9" fillId="0" borderId="16" xfId="0" applyFont="1" applyBorder="1" applyAlignment="1">
      <alignment horizontal="center" vertical="center"/>
    </xf>
    <xf numFmtId="0" fontId="9" fillId="0" borderId="18" xfId="0" applyFont="1" applyBorder="1" applyAlignment="1">
      <alignment horizontal="center" vertical="center" wrapText="1"/>
    </xf>
    <xf numFmtId="0" fontId="2" fillId="0" borderId="0" xfId="1" applyNumberFormat="1" applyFont="1" applyFill="1" applyBorder="1" applyProtection="1">
      <alignment vertical="center"/>
      <protection locked="0"/>
    </xf>
    <xf numFmtId="0" fontId="9" fillId="0" borderId="51" xfId="0" applyFont="1" applyBorder="1" applyAlignment="1">
      <alignment horizontal="center" vertical="center"/>
    </xf>
    <xf numFmtId="0" fontId="8" fillId="0" borderId="0" xfId="0" applyFont="1" applyAlignment="1">
      <alignment horizontal="center" vertical="center"/>
    </xf>
    <xf numFmtId="0" fontId="0" fillId="7" borderId="1" xfId="0" applyFill="1" applyBorder="1" applyAlignment="1">
      <alignment horizontal="justify" vertical="center"/>
    </xf>
    <xf numFmtId="0" fontId="0" fillId="8" borderId="21" xfId="0" applyFill="1" applyBorder="1" applyAlignment="1">
      <alignment horizontal="justify" vertical="center" indent="1"/>
    </xf>
    <xf numFmtId="0" fontId="0" fillId="8" borderId="1" xfId="0" applyFill="1" applyBorder="1" applyAlignment="1">
      <alignment horizontal="justify" vertical="center" indent="1"/>
    </xf>
    <xf numFmtId="0" fontId="3" fillId="0" borderId="0" xfId="1" applyNumberFormat="1" applyFill="1" applyBorder="1" applyProtection="1">
      <alignment vertical="center"/>
      <protection locked="0"/>
    </xf>
    <xf numFmtId="0" fontId="20" fillId="0" borderId="0" xfId="0" applyFont="1" applyProtection="1">
      <alignment vertical="center"/>
      <protection hidden="1"/>
    </xf>
    <xf numFmtId="0" fontId="0" fillId="0" borderId="0" xfId="0" applyProtection="1">
      <alignment vertical="center"/>
      <protection hidden="1"/>
    </xf>
    <xf numFmtId="0" fontId="9" fillId="0" borderId="18" xfId="0" applyFont="1" applyBorder="1" applyAlignment="1">
      <alignment horizontal="center" vertical="center"/>
    </xf>
    <xf numFmtId="0" fontId="22" fillId="9" borderId="27" xfId="0" applyFont="1" applyFill="1" applyBorder="1" applyAlignment="1" applyProtection="1">
      <alignment horizontal="center" vertical="center"/>
      <protection hidden="1"/>
    </xf>
    <xf numFmtId="0" fontId="18" fillId="9" borderId="28" xfId="0" applyFont="1" applyFill="1" applyBorder="1" applyAlignment="1" applyProtection="1">
      <alignment horizontal="center" vertical="center"/>
      <protection hidden="1"/>
    </xf>
    <xf numFmtId="0" fontId="22" fillId="9" borderId="28" xfId="0" applyFont="1" applyFill="1" applyBorder="1" applyAlignment="1" applyProtection="1">
      <alignment horizontal="center" vertical="center" textRotation="255"/>
      <protection hidden="1"/>
    </xf>
    <xf numFmtId="0" fontId="5" fillId="9" borderId="28" xfId="0" applyFont="1" applyFill="1" applyBorder="1" applyAlignment="1" applyProtection="1">
      <alignment horizontal="center" vertical="center"/>
      <protection hidden="1"/>
    </xf>
    <xf numFmtId="0" fontId="5" fillId="9" borderId="28" xfId="0" applyFont="1" applyFill="1" applyBorder="1" applyAlignment="1" applyProtection="1">
      <alignment horizontal="center" vertical="center" textRotation="255"/>
      <protection hidden="1"/>
    </xf>
    <xf numFmtId="0" fontId="24" fillId="0" borderId="0" xfId="0" applyFont="1" applyAlignment="1">
      <alignment horizontal="left" vertical="center"/>
    </xf>
    <xf numFmtId="0" fontId="11" fillId="0" borderId="0" xfId="0" applyFont="1" applyAlignment="1">
      <alignment horizontal="right" vertical="center"/>
    </xf>
    <xf numFmtId="0" fontId="12" fillId="0" borderId="0" xfId="0" applyFont="1" applyAlignment="1">
      <alignment horizontal="center" vertical="center"/>
    </xf>
    <xf numFmtId="0" fontId="23" fillId="0" borderId="0" xfId="0" applyFont="1" applyAlignment="1">
      <alignment horizontal="center" vertical="center"/>
    </xf>
    <xf numFmtId="0" fontId="3" fillId="0" borderId="0" xfId="1" applyNumberFormat="1" applyFill="1" applyBorder="1" applyProtection="1">
      <alignment vertical="center"/>
      <protection locked="0" hidden="1"/>
    </xf>
    <xf numFmtId="0" fontId="0" fillId="0" borderId="28" xfId="0" applyBorder="1">
      <alignment vertical="center"/>
    </xf>
    <xf numFmtId="0" fontId="11" fillId="0" borderId="28" xfId="0" applyFont="1" applyBorder="1" applyAlignment="1">
      <alignment horizontal="left" vertical="center"/>
    </xf>
    <xf numFmtId="0" fontId="4" fillId="0" borderId="0" xfId="0" applyFont="1">
      <alignment vertical="center"/>
    </xf>
    <xf numFmtId="0" fontId="26" fillId="0" borderId="1" xfId="0" applyFont="1" applyBorder="1" applyAlignment="1">
      <alignment vertical="center" wrapText="1"/>
    </xf>
    <xf numFmtId="0" fontId="0" fillId="11" borderId="28" xfId="0" applyFill="1" applyBorder="1" applyAlignment="1">
      <alignment horizontal="center" vertical="center"/>
    </xf>
    <xf numFmtId="0" fontId="11" fillId="10" borderId="28" xfId="0" applyFont="1" applyFill="1" applyBorder="1" applyAlignment="1">
      <alignment horizontal="center" vertical="center"/>
    </xf>
    <xf numFmtId="0" fontId="3" fillId="0" borderId="0" xfId="1" applyProtection="1">
      <alignment vertical="center"/>
      <protection locked="0"/>
    </xf>
    <xf numFmtId="0" fontId="5" fillId="0" borderId="0" xfId="0" applyFont="1" applyAlignment="1" applyProtection="1">
      <alignment horizontal="center" vertical="center"/>
      <protection hidden="1"/>
    </xf>
    <xf numFmtId="0" fontId="5" fillId="0" borderId="28" xfId="0" applyFont="1" applyBorder="1" applyProtection="1">
      <alignment vertical="center"/>
      <protection hidden="1"/>
    </xf>
    <xf numFmtId="0" fontId="5" fillId="0" borderId="27" xfId="0" applyFont="1" applyBorder="1" applyProtection="1">
      <alignment vertical="center"/>
      <protection hidden="1"/>
    </xf>
    <xf numFmtId="0" fontId="18" fillId="0" borderId="0" xfId="0" applyFont="1" applyProtection="1">
      <alignment vertical="center"/>
      <protection hidden="1"/>
    </xf>
    <xf numFmtId="0" fontId="2" fillId="0" borderId="0" xfId="1" applyNumberFormat="1" applyFont="1" applyFill="1" applyBorder="1" applyProtection="1">
      <alignment vertical="center"/>
      <protection hidden="1"/>
    </xf>
    <xf numFmtId="0" fontId="0" fillId="0" borderId="0" xfId="0" applyProtection="1">
      <alignment vertical="center"/>
      <protection locked="0" hidden="1"/>
    </xf>
    <xf numFmtId="176" fontId="0" fillId="0" borderId="1" xfId="0" applyNumberFormat="1" applyBorder="1" applyProtection="1">
      <alignment vertical="center"/>
      <protection locked="0"/>
    </xf>
    <xf numFmtId="0" fontId="1" fillId="0" borderId="0" xfId="0" applyFont="1" applyAlignment="1" applyProtection="1">
      <alignment horizontal="center" vertical="center"/>
      <protection hidden="1"/>
    </xf>
    <xf numFmtId="0" fontId="4" fillId="0" borderId="0" xfId="0" applyFont="1" applyAlignment="1">
      <alignment horizontal="center" vertical="center"/>
    </xf>
    <xf numFmtId="0" fontId="0" fillId="0" borderId="1" xfId="0" applyBorder="1" applyAlignment="1" applyProtection="1">
      <alignment horizontal="left" vertical="center"/>
      <protection locked="0"/>
    </xf>
    <xf numFmtId="0" fontId="5" fillId="0" borderId="28" xfId="0" applyFont="1" applyBorder="1" applyAlignment="1">
      <alignment horizontal="left" vertical="center"/>
    </xf>
    <xf numFmtId="0" fontId="5" fillId="0" borderId="32"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protection locked="0"/>
    </xf>
    <xf numFmtId="0" fontId="12" fillId="0" borderId="0" xfId="0" applyFont="1" applyAlignment="1">
      <alignment horizontal="right" vertical="center"/>
    </xf>
    <xf numFmtId="0" fontId="9" fillId="0" borderId="38" xfId="0" applyFont="1" applyBorder="1" applyAlignment="1">
      <alignment horizontal="center" vertical="center" wrapText="1"/>
    </xf>
    <xf numFmtId="0" fontId="9" fillId="0" borderId="7" xfId="0" applyFont="1" applyBorder="1" applyAlignment="1">
      <alignment horizontal="center" vertical="center" wrapText="1"/>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9" fillId="0" borderId="38" xfId="0" applyFont="1" applyBorder="1" applyAlignment="1">
      <alignment horizontal="center" vertical="center"/>
    </xf>
    <xf numFmtId="0" fontId="9" fillId="0" borderId="46" xfId="0" applyFont="1" applyBorder="1" applyAlignment="1">
      <alignment horizontal="center" vertical="center"/>
    </xf>
    <xf numFmtId="0" fontId="9" fillId="0" borderId="18" xfId="0" applyFont="1" applyBorder="1" applyAlignment="1">
      <alignment horizontal="center" vertical="center"/>
    </xf>
    <xf numFmtId="0" fontId="9" fillId="0" borderId="46" xfId="0" applyFont="1" applyBorder="1" applyAlignment="1">
      <alignment horizontal="center" vertical="center" wrapText="1"/>
    </xf>
    <xf numFmtId="0" fontId="9" fillId="0" borderId="18" xfId="0" applyFont="1" applyBorder="1" applyAlignment="1">
      <alignment horizontal="center" vertical="center" wrapText="1"/>
    </xf>
    <xf numFmtId="0" fontId="13" fillId="0" borderId="0" xfId="0" applyFont="1" applyAlignment="1">
      <alignment horizontal="center" vertical="center"/>
    </xf>
    <xf numFmtId="0" fontId="5" fillId="0" borderId="0" xfId="0" applyFont="1" applyAlignment="1" applyProtection="1">
      <alignment horizontal="left" vertical="center"/>
      <protection hidden="1"/>
    </xf>
    <xf numFmtId="0" fontId="5" fillId="0" borderId="55" xfId="0" applyFont="1" applyBorder="1" applyAlignment="1">
      <alignment horizontal="center" vertical="center"/>
    </xf>
    <xf numFmtId="0" fontId="5" fillId="0" borderId="56" xfId="0" applyFont="1" applyBorder="1" applyAlignment="1">
      <alignment horizontal="center" vertical="center"/>
    </xf>
    <xf numFmtId="177" fontId="6" fillId="0" borderId="42"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8" fillId="5" borderId="43" xfId="0" applyFont="1" applyFill="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17" xfId="0" applyFont="1" applyBorder="1" applyAlignment="1">
      <alignment horizontal="center" vertical="center"/>
    </xf>
    <xf numFmtId="0" fontId="5" fillId="0" borderId="34" xfId="0" applyFont="1" applyBorder="1" applyAlignment="1">
      <alignment horizontal="distributed" vertical="center" indent="2"/>
    </xf>
    <xf numFmtId="0" fontId="5" fillId="0" borderId="29" xfId="0" applyFont="1" applyBorder="1" applyAlignment="1">
      <alignment horizontal="distributed" vertical="center" indent="2"/>
    </xf>
    <xf numFmtId="0" fontId="5" fillId="0" borderId="35" xfId="0" applyFont="1" applyBorder="1" applyAlignment="1">
      <alignment horizontal="distributed" vertical="center" indent="2"/>
    </xf>
    <xf numFmtId="0" fontId="5" fillId="0" borderId="28" xfId="0" applyFont="1" applyBorder="1" applyAlignment="1">
      <alignment horizontal="distributed" vertical="center" indent="2"/>
    </xf>
    <xf numFmtId="0" fontId="5" fillId="0" borderId="35" xfId="0" applyFont="1" applyBorder="1" applyAlignment="1">
      <alignment horizontal="center" vertical="center"/>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left"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19" xfId="0" applyFont="1" applyBorder="1" applyAlignment="1">
      <alignment horizontal="center" vertical="center"/>
    </xf>
    <xf numFmtId="0" fontId="9" fillId="0" borderId="52" xfId="0" applyFont="1" applyBorder="1" applyAlignment="1">
      <alignment horizontal="center" vertical="center"/>
    </xf>
    <xf numFmtId="0" fontId="8" fillId="6" borderId="43" xfId="0" applyFont="1" applyFill="1" applyBorder="1" applyAlignment="1">
      <alignment horizontal="center" vertical="center"/>
    </xf>
    <xf numFmtId="0" fontId="5" fillId="9" borderId="28" xfId="0" applyFont="1" applyFill="1" applyBorder="1" applyAlignment="1" applyProtection="1">
      <alignment horizontal="center" vertical="center"/>
      <protection hidden="1"/>
    </xf>
    <xf numFmtId="178" fontId="18" fillId="9" borderId="47" xfId="0" applyNumberFormat="1" applyFont="1" applyFill="1" applyBorder="1" applyAlignment="1" applyProtection="1">
      <alignment horizontal="center" vertical="center"/>
      <protection hidden="1"/>
    </xf>
    <xf numFmtId="178" fontId="18" fillId="9" borderId="48" xfId="0" applyNumberFormat="1" applyFont="1" applyFill="1" applyBorder="1" applyAlignment="1" applyProtection="1">
      <alignment horizontal="center" vertical="center"/>
      <protection hidden="1"/>
    </xf>
    <xf numFmtId="0" fontId="21" fillId="9" borderId="49" xfId="0" applyFont="1" applyFill="1" applyBorder="1" applyAlignment="1" applyProtection="1">
      <alignment horizontal="center" vertical="center"/>
      <protection hidden="1"/>
    </xf>
    <xf numFmtId="0" fontId="21" fillId="9" borderId="50" xfId="0" applyFont="1" applyFill="1" applyBorder="1" applyAlignment="1" applyProtection="1">
      <alignment horizontal="center" vertical="center"/>
      <protection hidden="1"/>
    </xf>
    <xf numFmtId="0" fontId="18" fillId="9" borderId="47" xfId="0" applyFont="1" applyFill="1" applyBorder="1" applyAlignment="1" applyProtection="1">
      <alignment horizontal="center" vertical="center"/>
      <protection hidden="1"/>
    </xf>
    <xf numFmtId="0" fontId="18" fillId="9" borderId="48" xfId="0" applyFont="1" applyFill="1" applyBorder="1" applyAlignment="1" applyProtection="1">
      <alignment horizontal="center" vertical="center"/>
      <protection hidden="1"/>
    </xf>
  </cellXfs>
  <cellStyles count="2">
    <cellStyle name="ハイパーリンク" xfId="1" builtinId="8"/>
    <cellStyle name="標準" xfId="0" builtinId="0"/>
  </cellStyles>
  <dxfs count="16">
    <dxf>
      <border>
        <left style="thin">
          <color indexed="64"/>
        </left>
        <right style="thin">
          <color indexed="64"/>
        </right>
        <top style="thin">
          <color indexed="64"/>
        </top>
        <bottom style="thin">
          <color indexed="64"/>
        </bottom>
      </border>
    </dxf>
    <dxf>
      <fill>
        <patternFill>
          <bgColor theme="9" tint="0.799981688894314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9" tint="0.79998168889431442"/>
        </patternFill>
      </fill>
      <border>
        <left style="thin">
          <color indexed="64"/>
        </left>
        <right style="thin">
          <color indexed="64"/>
        </right>
        <top style="thin">
          <color indexed="64"/>
        </top>
        <bottom style="thin">
          <color indexed="64"/>
        </bottom>
      </border>
    </dxf>
    <dxf>
      <font>
        <b/>
        <i val="0"/>
        <condense val="0"/>
        <extend val="0"/>
        <sz val="11"/>
        <color indexed="10"/>
      </font>
    </dxf>
    <dxf>
      <font>
        <b/>
        <i val="0"/>
        <condense val="0"/>
        <extend val="0"/>
        <sz val="11"/>
        <color indexed="10"/>
      </font>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b/>
        <i val="0"/>
        <condense val="0"/>
        <extend val="0"/>
        <sz val="11"/>
        <color indexed="10"/>
      </font>
    </dxf>
    <dxf>
      <font>
        <b/>
        <i val="0"/>
        <condense val="0"/>
        <extend val="0"/>
        <sz val="11"/>
        <color indexed="10"/>
      </font>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E5FFE5"/>
      <color rgb="FFF7FFF7"/>
      <color rgb="FFFBFFF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F$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3398;&#26657;&#21517;&#31807;!A1"/><Relationship Id="rId2" Type="http://schemas.openxmlformats.org/officeDocument/2006/relationships/hyperlink" Target="#&#22899;&#23376;!A1"/><Relationship Id="rId1" Type="http://schemas.openxmlformats.org/officeDocument/2006/relationships/hyperlink" Target="#&#30007;&#23376;!A1"/></Relationships>
</file>

<file path=xl/drawings/_rels/drawing2.xml.rels><?xml version="1.0" encoding="UTF-8" standalone="yes"?>
<Relationships xmlns="http://schemas.openxmlformats.org/package/2006/relationships"><Relationship Id="rId2" Type="http://schemas.openxmlformats.org/officeDocument/2006/relationships/hyperlink" Target="#&#22899;&#23376;!A1"/><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hyperlink" Target="#&#30007;&#23376;!A1"/><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3</xdr:col>
      <xdr:colOff>490745</xdr:colOff>
      <xdr:row>3</xdr:row>
      <xdr:rowOff>9525</xdr:rowOff>
    </xdr:from>
    <xdr:to>
      <xdr:col>3</xdr:col>
      <xdr:colOff>1681370</xdr:colOff>
      <xdr:row>3</xdr:row>
      <xdr:rowOff>247650</xdr:rowOff>
    </xdr:to>
    <xdr:sp macro="" textlink="" fLocksText="0">
      <xdr:nvSpPr>
        <xdr:cNvPr id="1025" name="AutoShape 1">
          <a:hlinkClick xmlns:r="http://schemas.openxmlformats.org/officeDocument/2006/relationships" r:id="rId1"/>
          <a:extLst>
            <a:ext uri="{FF2B5EF4-FFF2-40B4-BE49-F238E27FC236}">
              <a16:creationId xmlns:a16="http://schemas.microsoft.com/office/drawing/2014/main" id="{00000000-0008-0000-0000-000001040000}"/>
            </a:ext>
          </a:extLst>
        </xdr:cNvPr>
        <xdr:cNvSpPr>
          <a:spLocks noChangeArrowheads="1"/>
        </xdr:cNvSpPr>
      </xdr:nvSpPr>
      <xdr:spPr bwMode="auto">
        <a:xfrm>
          <a:off x="4540941" y="647286"/>
          <a:ext cx="1190625" cy="238125"/>
        </a:xfrm>
        <a:prstGeom prst="bevel">
          <a:avLst>
            <a:gd name="adj" fmla="val 12500"/>
          </a:avLst>
        </a:prstGeom>
        <a:solidFill>
          <a:schemeClr val="accent5">
            <a:lumMod val="40000"/>
            <a:lumOff val="60000"/>
          </a:schemeClr>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男子申込</a:t>
          </a:r>
        </a:p>
      </xdr:txBody>
    </xdr:sp>
    <xdr:clientData/>
  </xdr:twoCellAnchor>
  <xdr:twoCellAnchor>
    <xdr:from>
      <xdr:col>3</xdr:col>
      <xdr:colOff>490745</xdr:colOff>
      <xdr:row>4</xdr:row>
      <xdr:rowOff>4970</xdr:rowOff>
    </xdr:from>
    <xdr:to>
      <xdr:col>3</xdr:col>
      <xdr:colOff>1471820</xdr:colOff>
      <xdr:row>5</xdr:row>
      <xdr:rowOff>176834</xdr:rowOff>
    </xdr:to>
    <xdr:sp macro="" textlink="" fLocksText="0">
      <xdr:nvSpPr>
        <xdr:cNvPr id="1026" name="AutoShape 3">
          <a:hlinkClick xmlns:r="http://schemas.openxmlformats.org/officeDocument/2006/relationships" r:id="rId2"/>
          <a:extLst>
            <a:ext uri="{FF2B5EF4-FFF2-40B4-BE49-F238E27FC236}">
              <a16:creationId xmlns:a16="http://schemas.microsoft.com/office/drawing/2014/main" id="{00000000-0008-0000-0000-000002040000}"/>
            </a:ext>
          </a:extLst>
        </xdr:cNvPr>
        <xdr:cNvSpPr>
          <a:spLocks noChangeArrowheads="1"/>
        </xdr:cNvSpPr>
      </xdr:nvSpPr>
      <xdr:spPr bwMode="auto">
        <a:xfrm>
          <a:off x="4093680" y="1048579"/>
          <a:ext cx="981075" cy="238125"/>
        </a:xfrm>
        <a:prstGeom prst="bevel">
          <a:avLst>
            <a:gd name="adj" fmla="val 12500"/>
          </a:avLst>
        </a:prstGeom>
        <a:solidFill>
          <a:srgbClr val="FFCC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女子申込</a:t>
          </a:r>
        </a:p>
      </xdr:txBody>
    </xdr:sp>
    <xdr:clientData/>
  </xdr:twoCellAnchor>
  <xdr:twoCellAnchor>
    <xdr:from>
      <xdr:col>3</xdr:col>
      <xdr:colOff>157370</xdr:colOff>
      <xdr:row>17</xdr:row>
      <xdr:rowOff>24848</xdr:rowOff>
    </xdr:from>
    <xdr:to>
      <xdr:col>4</xdr:col>
      <xdr:colOff>8283</xdr:colOff>
      <xdr:row>21</xdr:row>
      <xdr:rowOff>33132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60305" y="2832652"/>
          <a:ext cx="1325217" cy="6874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a:t>大会名を選択し、セルが黄色の所に</a:t>
          </a:r>
          <a:endParaRPr kumimoji="1" lang="en-US" altLang="ja-JP" sz="900"/>
        </a:p>
        <a:p>
          <a:r>
            <a:rPr kumimoji="1" lang="ja-JP" altLang="en-US" sz="900"/>
            <a:t>必要事項を入力して下さい。</a:t>
          </a:r>
          <a:endParaRPr kumimoji="1" lang="en-US" altLang="ja-JP" sz="900"/>
        </a:p>
      </xdr:txBody>
    </xdr:sp>
    <xdr:clientData fPrintsWithSheet="0"/>
  </xdr:twoCellAnchor>
  <xdr:twoCellAnchor>
    <xdr:from>
      <xdr:col>3</xdr:col>
      <xdr:colOff>490745</xdr:colOff>
      <xdr:row>7</xdr:row>
      <xdr:rowOff>4970</xdr:rowOff>
    </xdr:from>
    <xdr:to>
      <xdr:col>3</xdr:col>
      <xdr:colOff>1471820</xdr:colOff>
      <xdr:row>7</xdr:row>
      <xdr:rowOff>243095</xdr:rowOff>
    </xdr:to>
    <xdr:sp macro="" textlink="" fLocksText="0">
      <xdr:nvSpPr>
        <xdr:cNvPr id="8" name="AutoShape 3">
          <a:hlinkClick xmlns:r="http://schemas.openxmlformats.org/officeDocument/2006/relationships" r:id="rId3"/>
          <a:extLst>
            <a:ext uri="{FF2B5EF4-FFF2-40B4-BE49-F238E27FC236}">
              <a16:creationId xmlns:a16="http://schemas.microsoft.com/office/drawing/2014/main" id="{00000000-0008-0000-0000-000008000000}"/>
            </a:ext>
          </a:extLst>
        </xdr:cNvPr>
        <xdr:cNvSpPr>
          <a:spLocks noChangeArrowheads="1"/>
        </xdr:cNvSpPr>
      </xdr:nvSpPr>
      <xdr:spPr bwMode="auto">
        <a:xfrm>
          <a:off x="4093680" y="1454427"/>
          <a:ext cx="981075" cy="238125"/>
        </a:xfrm>
        <a:prstGeom prst="bevel">
          <a:avLst>
            <a:gd name="adj" fmla="val 12500"/>
          </a:avLst>
        </a:prstGeom>
        <a:solidFill>
          <a:srgbClr val="E5FFE5"/>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Ｐゴシック"/>
              <a:ea typeface="ＭＳ Ｐゴシック"/>
            </a:rPr>
            <a:t>学校番号確認</a:t>
          </a:r>
        </a:p>
      </xdr:txBody>
    </xdr:sp>
    <xdr:clientData/>
  </xdr:twoCellAnchor>
  <mc:AlternateContent xmlns:mc="http://schemas.openxmlformats.org/markup-compatibility/2006">
    <mc:Choice xmlns:a14="http://schemas.microsoft.com/office/drawing/2010/main" Requires="a14">
      <xdr:twoCellAnchor editAs="oneCell">
        <xdr:from>
          <xdr:col>3</xdr:col>
          <xdr:colOff>546100</xdr:colOff>
          <xdr:row>8</xdr:row>
          <xdr:rowOff>31750</xdr:rowOff>
        </xdr:from>
        <xdr:to>
          <xdr:col>4</xdr:col>
          <xdr:colOff>0</xdr:colOff>
          <xdr:row>11</xdr:row>
          <xdr:rowOff>209550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高校総体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11</xdr:row>
          <xdr:rowOff>171450</xdr:rowOff>
        </xdr:from>
        <xdr:to>
          <xdr:col>8</xdr:col>
          <xdr:colOff>393700</xdr:colOff>
          <xdr:row>13</xdr:row>
          <xdr:rowOff>76200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一年生大会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13</xdr:row>
          <xdr:rowOff>38100</xdr:rowOff>
        </xdr:from>
        <xdr:to>
          <xdr:col>8</xdr:col>
          <xdr:colOff>317500</xdr:colOff>
          <xdr:row>14</xdr:row>
          <xdr:rowOff>12700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新人大会</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390525</xdr:colOff>
      <xdr:row>10</xdr:row>
      <xdr:rowOff>104775</xdr:rowOff>
    </xdr:from>
    <xdr:to>
      <xdr:col>34</xdr:col>
      <xdr:colOff>333375</xdr:colOff>
      <xdr:row>16</xdr:row>
      <xdr:rowOff>66675</xdr:rowOff>
    </xdr:to>
    <xdr:sp macro="" textlink="">
      <xdr:nvSpPr>
        <xdr:cNvPr id="2906" name="AutoShape 12">
          <a:extLst>
            <a:ext uri="{FF2B5EF4-FFF2-40B4-BE49-F238E27FC236}">
              <a16:creationId xmlns:a16="http://schemas.microsoft.com/office/drawing/2014/main" id="{00000000-0008-0000-0100-00005A0B0000}"/>
            </a:ext>
          </a:extLst>
        </xdr:cNvPr>
        <xdr:cNvSpPr>
          <a:spLocks noChangeArrowheads="1"/>
        </xdr:cNvSpPr>
      </xdr:nvSpPr>
      <xdr:spPr bwMode="auto">
        <a:xfrm>
          <a:off x="6981825" y="2066925"/>
          <a:ext cx="3600450" cy="1676400"/>
        </a:xfrm>
        <a:prstGeom prst="roundRect">
          <a:avLst>
            <a:gd name="adj" fmla="val 16667"/>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371475</xdr:colOff>
      <xdr:row>6</xdr:row>
      <xdr:rowOff>85725</xdr:rowOff>
    </xdr:from>
    <xdr:to>
      <xdr:col>33</xdr:col>
      <xdr:colOff>1266825</xdr:colOff>
      <xdr:row>9</xdr:row>
      <xdr:rowOff>104775</xdr:rowOff>
    </xdr:to>
    <xdr:sp macro="" textlink="" fLocksText="0">
      <xdr:nvSpPr>
        <xdr:cNvPr id="2054" name="AutoShape 15">
          <a:extLst>
            <a:ext uri="{FF2B5EF4-FFF2-40B4-BE49-F238E27FC236}">
              <a16:creationId xmlns:a16="http://schemas.microsoft.com/office/drawing/2014/main" id="{00000000-0008-0000-0100-000006080000}"/>
            </a:ext>
          </a:extLst>
        </xdr:cNvPr>
        <xdr:cNvSpPr>
          <a:spLocks/>
        </xdr:cNvSpPr>
      </xdr:nvSpPr>
      <xdr:spPr bwMode="auto">
        <a:xfrm>
          <a:off x="7410450" y="1362075"/>
          <a:ext cx="2009775" cy="533400"/>
        </a:xfrm>
        <a:prstGeom prst="borderCallout1">
          <a:avLst>
            <a:gd name="adj1" fmla="val 21051"/>
            <a:gd name="adj2" fmla="val -3792"/>
            <a:gd name="adj3" fmla="val 171931"/>
            <a:gd name="adj4" fmla="val -16588"/>
          </a:avLst>
        </a:prstGeom>
        <a:solidFill>
          <a:srgbClr val="CCFFFF"/>
        </a:solidFill>
        <a:ln w="9360">
          <a:solidFill>
            <a:srgbClr val="000000"/>
          </a:solidFill>
          <a:miter lim="800000"/>
          <a:headEnd/>
          <a:tailEnd type="triangle" w="med" len="med"/>
        </a:ln>
        <a:effectLst/>
      </xdr:spPr>
      <xdr:txBody>
        <a:bodyPr vertOverflow="clip" wrap="square" lIns="27360" tIns="18000" rIns="0" bIns="0" anchor="t" upright="1"/>
        <a:lstStyle/>
        <a:p>
          <a:pPr algn="l" rtl="0">
            <a:defRPr sz="1000"/>
          </a:pPr>
          <a:r>
            <a:rPr lang="ja-JP" altLang="en-US" sz="900" b="0" i="0" u="none" strike="noStrike" baseline="0">
              <a:solidFill>
                <a:srgbClr val="000000"/>
              </a:solidFill>
              <a:latin typeface="ＭＳ Ｐゴシック"/>
              <a:ea typeface="ＭＳ Ｐゴシック"/>
            </a:rPr>
            <a:t>印刷前に申し込みに間違いが無いか必ず確認してください。</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このオブジェクトは印刷されません）</a:t>
          </a:r>
        </a:p>
      </xdr:txBody>
    </xdr:sp>
    <xdr:clientData/>
  </xdr:twoCellAnchor>
  <xdr:twoCellAnchor>
    <xdr:from>
      <xdr:col>31</xdr:col>
      <xdr:colOff>304800</xdr:colOff>
      <xdr:row>18</xdr:row>
      <xdr:rowOff>209550</xdr:rowOff>
    </xdr:from>
    <xdr:to>
      <xdr:col>33</xdr:col>
      <xdr:colOff>476250</xdr:colOff>
      <xdr:row>19</xdr:row>
      <xdr:rowOff>180975</xdr:rowOff>
    </xdr:to>
    <xdr:sp macro="" textlink="" fLocksText="0">
      <xdr:nvSpPr>
        <xdr:cNvPr id="2055" name="AutoShape 22">
          <a:hlinkClick xmlns:r="http://schemas.openxmlformats.org/officeDocument/2006/relationships" r:id="rId1"/>
          <a:extLst>
            <a:ext uri="{FF2B5EF4-FFF2-40B4-BE49-F238E27FC236}">
              <a16:creationId xmlns:a16="http://schemas.microsoft.com/office/drawing/2014/main" id="{00000000-0008-0000-0100-000007080000}"/>
            </a:ext>
          </a:extLst>
        </xdr:cNvPr>
        <xdr:cNvSpPr>
          <a:spLocks noChangeArrowheads="1"/>
        </xdr:cNvSpPr>
      </xdr:nvSpPr>
      <xdr:spPr bwMode="auto">
        <a:xfrm>
          <a:off x="6657975" y="4381500"/>
          <a:ext cx="1971675" cy="304800"/>
        </a:xfrm>
        <a:prstGeom prst="bevel">
          <a:avLst>
            <a:gd name="adj" fmla="val 12500"/>
          </a:avLst>
        </a:prstGeom>
        <a:solidFill>
          <a:srgbClr val="CCFF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設定メニューへ</a:t>
          </a:r>
        </a:p>
      </xdr:txBody>
    </xdr:sp>
    <xdr:clientData/>
  </xdr:twoCellAnchor>
  <xdr:twoCellAnchor>
    <xdr:from>
      <xdr:col>31</xdr:col>
      <xdr:colOff>304800</xdr:colOff>
      <xdr:row>17</xdr:row>
      <xdr:rowOff>47625</xdr:rowOff>
    </xdr:from>
    <xdr:to>
      <xdr:col>33</xdr:col>
      <xdr:colOff>476250</xdr:colOff>
      <xdr:row>18</xdr:row>
      <xdr:rowOff>9525</xdr:rowOff>
    </xdr:to>
    <xdr:sp macro="" textlink="" fLocksText="0">
      <xdr:nvSpPr>
        <xdr:cNvPr id="2056" name="AutoShape 23">
          <a:hlinkClick xmlns:r="http://schemas.openxmlformats.org/officeDocument/2006/relationships" r:id="rId2"/>
          <a:extLst>
            <a:ext uri="{FF2B5EF4-FFF2-40B4-BE49-F238E27FC236}">
              <a16:creationId xmlns:a16="http://schemas.microsoft.com/office/drawing/2014/main" id="{00000000-0008-0000-0100-000008080000}"/>
            </a:ext>
          </a:extLst>
        </xdr:cNvPr>
        <xdr:cNvSpPr>
          <a:spLocks noChangeArrowheads="1"/>
        </xdr:cNvSpPr>
      </xdr:nvSpPr>
      <xdr:spPr bwMode="auto">
        <a:xfrm>
          <a:off x="6657975" y="3886200"/>
          <a:ext cx="1971675" cy="295275"/>
        </a:xfrm>
        <a:prstGeom prst="bevel">
          <a:avLst>
            <a:gd name="adj" fmla="val 12500"/>
          </a:avLst>
        </a:prstGeom>
        <a:solidFill>
          <a:srgbClr val="FF99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女子申込へ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390525</xdr:colOff>
      <xdr:row>10</xdr:row>
      <xdr:rowOff>104775</xdr:rowOff>
    </xdr:from>
    <xdr:to>
      <xdr:col>34</xdr:col>
      <xdr:colOff>333375</xdr:colOff>
      <xdr:row>16</xdr:row>
      <xdr:rowOff>66675</xdr:rowOff>
    </xdr:to>
    <xdr:sp macro="" textlink="">
      <xdr:nvSpPr>
        <xdr:cNvPr id="5869" name="AutoShape 12">
          <a:extLst>
            <a:ext uri="{FF2B5EF4-FFF2-40B4-BE49-F238E27FC236}">
              <a16:creationId xmlns:a16="http://schemas.microsoft.com/office/drawing/2014/main" id="{00000000-0008-0000-0200-0000ED160000}"/>
            </a:ext>
          </a:extLst>
        </xdr:cNvPr>
        <xdr:cNvSpPr>
          <a:spLocks noChangeArrowheads="1"/>
        </xdr:cNvSpPr>
      </xdr:nvSpPr>
      <xdr:spPr bwMode="auto">
        <a:xfrm>
          <a:off x="6981825" y="2066925"/>
          <a:ext cx="3600450" cy="1676400"/>
        </a:xfrm>
        <a:prstGeom prst="roundRect">
          <a:avLst>
            <a:gd name="adj" fmla="val 16667"/>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371475</xdr:colOff>
      <xdr:row>6</xdr:row>
      <xdr:rowOff>85725</xdr:rowOff>
    </xdr:from>
    <xdr:to>
      <xdr:col>33</xdr:col>
      <xdr:colOff>1266825</xdr:colOff>
      <xdr:row>9</xdr:row>
      <xdr:rowOff>104775</xdr:rowOff>
    </xdr:to>
    <xdr:sp macro="" textlink="" fLocksText="0">
      <xdr:nvSpPr>
        <xdr:cNvPr id="3" name="AutoShape 15">
          <a:extLst>
            <a:ext uri="{FF2B5EF4-FFF2-40B4-BE49-F238E27FC236}">
              <a16:creationId xmlns:a16="http://schemas.microsoft.com/office/drawing/2014/main" id="{00000000-0008-0000-0200-000003000000}"/>
            </a:ext>
          </a:extLst>
        </xdr:cNvPr>
        <xdr:cNvSpPr>
          <a:spLocks/>
        </xdr:cNvSpPr>
      </xdr:nvSpPr>
      <xdr:spPr bwMode="auto">
        <a:xfrm>
          <a:off x="22431375" y="1362075"/>
          <a:ext cx="2009775" cy="542925"/>
        </a:xfrm>
        <a:prstGeom prst="borderCallout1">
          <a:avLst>
            <a:gd name="adj1" fmla="val 21051"/>
            <a:gd name="adj2" fmla="val -3792"/>
            <a:gd name="adj3" fmla="val 171931"/>
            <a:gd name="adj4" fmla="val -16588"/>
          </a:avLst>
        </a:prstGeom>
        <a:solidFill>
          <a:srgbClr val="CCFFFF"/>
        </a:solidFill>
        <a:ln w="9360">
          <a:solidFill>
            <a:srgbClr val="000000"/>
          </a:solidFill>
          <a:miter lim="800000"/>
          <a:headEnd/>
          <a:tailEnd type="triangle" w="med" len="med"/>
        </a:ln>
        <a:effectLst/>
      </xdr:spPr>
      <xdr:txBody>
        <a:bodyPr vertOverflow="clip" wrap="square" lIns="27360" tIns="18000" rIns="0" bIns="0" anchor="t" upright="1"/>
        <a:lstStyle/>
        <a:p>
          <a:pPr algn="l" rtl="0">
            <a:defRPr sz="1000"/>
          </a:pPr>
          <a:r>
            <a:rPr lang="ja-JP" altLang="en-US" sz="900" b="0" i="0" u="none" strike="noStrike" baseline="0">
              <a:solidFill>
                <a:srgbClr val="000000"/>
              </a:solidFill>
              <a:latin typeface="ＭＳ Ｐゴシック"/>
              <a:ea typeface="ＭＳ Ｐゴシック"/>
            </a:rPr>
            <a:t>印刷前に申し込みに間違いが無いか必ず確認してください。</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このオブジェクトは印刷されません）</a:t>
          </a:r>
        </a:p>
      </xdr:txBody>
    </xdr:sp>
    <xdr:clientData/>
  </xdr:twoCellAnchor>
  <xdr:twoCellAnchor>
    <xdr:from>
      <xdr:col>31</xdr:col>
      <xdr:colOff>304800</xdr:colOff>
      <xdr:row>18</xdr:row>
      <xdr:rowOff>209550</xdr:rowOff>
    </xdr:from>
    <xdr:to>
      <xdr:col>33</xdr:col>
      <xdr:colOff>476250</xdr:colOff>
      <xdr:row>19</xdr:row>
      <xdr:rowOff>180975</xdr:rowOff>
    </xdr:to>
    <xdr:sp macro="" textlink="" fLocksText="0">
      <xdr:nvSpPr>
        <xdr:cNvPr id="4" name="AutoShape 22">
          <a:hlinkClick xmlns:r="http://schemas.openxmlformats.org/officeDocument/2006/relationships" r:id="rId1"/>
          <a:extLst>
            <a:ext uri="{FF2B5EF4-FFF2-40B4-BE49-F238E27FC236}">
              <a16:creationId xmlns:a16="http://schemas.microsoft.com/office/drawing/2014/main" id="{00000000-0008-0000-0200-000004000000}"/>
            </a:ext>
          </a:extLst>
        </xdr:cNvPr>
        <xdr:cNvSpPr>
          <a:spLocks noChangeArrowheads="1"/>
        </xdr:cNvSpPr>
      </xdr:nvSpPr>
      <xdr:spPr bwMode="auto">
        <a:xfrm>
          <a:off x="21678900" y="4552950"/>
          <a:ext cx="1971675" cy="304800"/>
        </a:xfrm>
        <a:prstGeom prst="bevel">
          <a:avLst>
            <a:gd name="adj" fmla="val 12500"/>
          </a:avLst>
        </a:prstGeom>
        <a:solidFill>
          <a:srgbClr val="CCFFCC"/>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設定メニューへ</a:t>
          </a:r>
        </a:p>
      </xdr:txBody>
    </xdr:sp>
    <xdr:clientData/>
  </xdr:twoCellAnchor>
  <xdr:twoCellAnchor>
    <xdr:from>
      <xdr:col>31</xdr:col>
      <xdr:colOff>304800</xdr:colOff>
      <xdr:row>17</xdr:row>
      <xdr:rowOff>47625</xdr:rowOff>
    </xdr:from>
    <xdr:to>
      <xdr:col>33</xdr:col>
      <xdr:colOff>476250</xdr:colOff>
      <xdr:row>18</xdr:row>
      <xdr:rowOff>9525</xdr:rowOff>
    </xdr:to>
    <xdr:sp macro="" textlink="" fLocksText="0">
      <xdr:nvSpPr>
        <xdr:cNvPr id="5" name="AutoShape 23">
          <a:hlinkClick xmlns:r="http://schemas.openxmlformats.org/officeDocument/2006/relationships" r:id="rId2"/>
          <a:extLst>
            <a:ext uri="{FF2B5EF4-FFF2-40B4-BE49-F238E27FC236}">
              <a16:creationId xmlns:a16="http://schemas.microsoft.com/office/drawing/2014/main" id="{00000000-0008-0000-0200-000005000000}"/>
            </a:ext>
          </a:extLst>
        </xdr:cNvPr>
        <xdr:cNvSpPr>
          <a:spLocks noChangeArrowheads="1"/>
        </xdr:cNvSpPr>
      </xdr:nvSpPr>
      <xdr:spPr bwMode="auto">
        <a:xfrm>
          <a:off x="21678900" y="4057650"/>
          <a:ext cx="1971675" cy="295275"/>
        </a:xfrm>
        <a:prstGeom prst="bevel">
          <a:avLst>
            <a:gd name="adj" fmla="val 12500"/>
          </a:avLst>
        </a:prstGeom>
        <a:solidFill>
          <a:schemeClr val="accent1">
            <a:lumMod val="40000"/>
            <a:lumOff val="60000"/>
          </a:schemeClr>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100" b="0" i="0" u="none" strike="noStrike" baseline="0">
              <a:solidFill>
                <a:srgbClr val="000000"/>
              </a:solidFill>
              <a:latin typeface="ＭＳ Ｐゴシック"/>
              <a:ea typeface="ＭＳ Ｐゴシック"/>
            </a:rPr>
            <a:t>男子申込へ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miyakoutaku_pp@yahoo.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34"/>
  <sheetViews>
    <sheetView showGridLines="0" showRowColHeaders="0" tabSelected="1" topLeftCell="A2" zoomScaleNormal="100" workbookViewId="0">
      <selection activeCell="C12" sqref="C12"/>
    </sheetView>
  </sheetViews>
  <sheetFormatPr defaultRowHeight="13" x14ac:dyDescent="0.2"/>
  <cols>
    <col min="1" max="1" width="3.08984375" customWidth="1"/>
    <col min="2" max="2" width="17.26953125" customWidth="1"/>
    <col min="3" max="3" width="26.90625" customWidth="1"/>
    <col min="4" max="4" width="19.36328125" customWidth="1"/>
    <col min="5" max="8" width="9" hidden="1" customWidth="1"/>
    <col min="9" max="9" width="9" customWidth="1"/>
  </cols>
  <sheetData>
    <row r="1" spans="2:14" ht="28.5" customHeight="1" x14ac:dyDescent="0.2">
      <c r="B1" s="101" t="s">
        <v>0</v>
      </c>
      <c r="C1" s="101"/>
      <c r="D1" s="101"/>
      <c r="E1" s="75"/>
      <c r="F1" s="99">
        <v>1</v>
      </c>
      <c r="G1" s="98" t="s">
        <v>78</v>
      </c>
      <c r="H1" s="98" t="s">
        <v>49</v>
      </c>
      <c r="I1" s="75"/>
      <c r="J1" s="75"/>
      <c r="K1" s="75"/>
      <c r="M1" s="75"/>
      <c r="N1" s="75"/>
    </row>
    <row r="2" spans="2:14" ht="21.75" customHeight="1" x14ac:dyDescent="0.2">
      <c r="B2" s="102" t="str">
        <f>IF(F4=7,"","入力に不備があります。色のついている箇所に必要事項を入力をして申込ボタンを押して下さい。")</f>
        <v>入力に不備があります。色のついている箇所に必要事項を入力をして申込ボタンを押して下さい。</v>
      </c>
      <c r="C2" s="102"/>
      <c r="D2" s="102"/>
      <c r="G2" s="67" t="s">
        <v>1</v>
      </c>
      <c r="H2" s="67" t="s">
        <v>49</v>
      </c>
    </row>
    <row r="3" spans="2:14" ht="10.5" customHeight="1" thickBot="1" x14ac:dyDescent="0.25">
      <c r="B3" s="40"/>
      <c r="C3" s="40"/>
      <c r="D3" s="40"/>
      <c r="G3" s="67"/>
      <c r="H3" s="67"/>
    </row>
    <row r="4" spans="2:14" ht="21.75" customHeight="1" thickBot="1" x14ac:dyDescent="0.25">
      <c r="B4" s="71" t="s">
        <v>54</v>
      </c>
      <c r="C4" s="47" t="str">
        <f>VLOOKUP(F1,大会名２,4,FALSE)</f>
        <v>高校総体</v>
      </c>
      <c r="D4" s="40"/>
      <c r="F4">
        <f>SUM(F6:F22)</f>
        <v>1</v>
      </c>
      <c r="G4" s="1"/>
      <c r="H4" s="1"/>
    </row>
    <row r="5" spans="2:14" ht="5.25" customHeight="1" x14ac:dyDescent="0.2"/>
    <row r="6" spans="2:14" ht="21.75" customHeight="1" x14ac:dyDescent="0.2">
      <c r="B6" s="72" t="s">
        <v>2</v>
      </c>
      <c r="C6" s="3"/>
      <c r="F6">
        <f>IF(C6="",0,1)</f>
        <v>0</v>
      </c>
    </row>
    <row r="7" spans="2:14" ht="5.25" customHeight="1" x14ac:dyDescent="0.2">
      <c r="B7" s="4"/>
    </row>
    <row r="8" spans="2:14" ht="21.75" customHeight="1" x14ac:dyDescent="0.2">
      <c r="B8" s="72" t="s">
        <v>3</v>
      </c>
      <c r="C8" s="90" t="str">
        <f>IF(C6="","↑学校番号を入力して下さい。",IF(C6&gt;=100,"正しい学校番号を入力して下さい。",VLOOKUP(C6,学校名簿!B3:D55,3,FALSE)))</f>
        <v>↑学校番号を入力して下さい。</v>
      </c>
      <c r="F8">
        <f>IF(C8="",0,IF(C8="○○高等学校",0,1))</f>
        <v>1</v>
      </c>
      <c r="G8" t="str">
        <f>IF(C6=99,"都城工業高等専門学校",SUBSTITUTE(SUBSTITUTE(C8,"宮崎県立","県立"),"県立",""))</f>
        <v>↑学校番号を入力して下さい。</v>
      </c>
      <c r="H8" t="str">
        <f>IF(C6=99,"都城高専",SUBSTITUTE(SUBSTITUTE(G8,"高等学校","高校"),"高校",""))</f>
        <v>↑学校番号を入力して下さい。</v>
      </c>
    </row>
    <row r="9" spans="2:14" ht="5.25" customHeight="1" x14ac:dyDescent="0.2">
      <c r="B9" s="4"/>
      <c r="C9" s="89"/>
    </row>
    <row r="10" spans="2:14" ht="21.75" hidden="1" customHeight="1" x14ac:dyDescent="0.2">
      <c r="B10" s="2" t="s">
        <v>4</v>
      </c>
      <c r="C10" s="39" t="str">
        <f>H8</f>
        <v>↑学校番号を入力して下さい。</v>
      </c>
    </row>
    <row r="11" spans="2:14" ht="5.25" hidden="1" customHeight="1" x14ac:dyDescent="0.2">
      <c r="B11" s="4"/>
    </row>
    <row r="12" spans="2:14" ht="21.75" customHeight="1" x14ac:dyDescent="0.2">
      <c r="B12" s="72" t="s">
        <v>5</v>
      </c>
      <c r="C12" s="39"/>
      <c r="F12">
        <f>IF(C12="",0,1)</f>
        <v>0</v>
      </c>
    </row>
    <row r="13" spans="2:14" ht="5.25" customHeight="1" x14ac:dyDescent="0.2">
      <c r="B13" s="4"/>
    </row>
    <row r="14" spans="2:14" ht="21.75" customHeight="1" x14ac:dyDescent="0.2">
      <c r="B14" s="72" t="s">
        <v>6</v>
      </c>
      <c r="C14" s="39"/>
      <c r="F14">
        <f>IF(C14="",0,1)</f>
        <v>0</v>
      </c>
    </row>
    <row r="15" spans="2:14" ht="5.25" customHeight="1" x14ac:dyDescent="0.2">
      <c r="B15" s="4"/>
    </row>
    <row r="16" spans="2:14" ht="21.75" customHeight="1" x14ac:dyDescent="0.2">
      <c r="B16" s="72" t="s">
        <v>7</v>
      </c>
      <c r="C16" s="103"/>
      <c r="D16" s="103"/>
      <c r="F16">
        <f>IF(C16="",0,1)</f>
        <v>0</v>
      </c>
    </row>
    <row r="17" spans="2:6" ht="5.25" customHeight="1" x14ac:dyDescent="0.2">
      <c r="B17" s="4"/>
    </row>
    <row r="18" spans="2:6" ht="21.75" customHeight="1" x14ac:dyDescent="0.2">
      <c r="B18" s="72" t="s">
        <v>8</v>
      </c>
      <c r="C18" s="39"/>
      <c r="F18">
        <f>IF(C18="",0,1)</f>
        <v>0</v>
      </c>
    </row>
    <row r="19" spans="2:6" ht="5.25" customHeight="1" x14ac:dyDescent="0.2">
      <c r="B19" s="4"/>
    </row>
    <row r="20" spans="2:6" ht="21.75" customHeight="1" x14ac:dyDescent="0.2">
      <c r="B20" s="72" t="s">
        <v>9</v>
      </c>
      <c r="C20" s="39"/>
      <c r="F20">
        <f>IF(C20="",0,1)</f>
        <v>0</v>
      </c>
    </row>
    <row r="21" spans="2:6" ht="5.25" customHeight="1" x14ac:dyDescent="0.2">
      <c r="B21" s="4"/>
    </row>
    <row r="22" spans="2:6" ht="21.75" customHeight="1" x14ac:dyDescent="0.2">
      <c r="B22" s="72" t="s">
        <v>10</v>
      </c>
      <c r="C22" s="39"/>
      <c r="F22">
        <f>IF(C22="",0,1)</f>
        <v>0</v>
      </c>
    </row>
    <row r="23" spans="2:6" ht="5.25" customHeight="1" x14ac:dyDescent="0.2">
      <c r="B23" s="4"/>
    </row>
    <row r="24" spans="2:6" x14ac:dyDescent="0.2">
      <c r="B24" s="5"/>
    </row>
    <row r="25" spans="2:6" x14ac:dyDescent="0.2">
      <c r="B25" s="70" t="s">
        <v>11</v>
      </c>
      <c r="C25" s="100" t="s">
        <v>196</v>
      </c>
    </row>
    <row r="26" spans="2:6" x14ac:dyDescent="0.2">
      <c r="B26" s="70" t="s">
        <v>12</v>
      </c>
      <c r="C26" s="39" t="s">
        <v>197</v>
      </c>
    </row>
    <row r="27" spans="2:6" x14ac:dyDescent="0.2">
      <c r="B27" s="70" t="s">
        <v>13</v>
      </c>
      <c r="C27" s="39" t="s">
        <v>198</v>
      </c>
    </row>
    <row r="29" spans="2:6" x14ac:dyDescent="0.2">
      <c r="B29" t="s">
        <v>14</v>
      </c>
    </row>
    <row r="30" spans="2:6" x14ac:dyDescent="0.2">
      <c r="B30" t="s">
        <v>15</v>
      </c>
    </row>
    <row r="31" spans="2:6" x14ac:dyDescent="0.2">
      <c r="B31" t="s">
        <v>16</v>
      </c>
    </row>
    <row r="33" spans="2:3" x14ac:dyDescent="0.2">
      <c r="B33" t="s">
        <v>17</v>
      </c>
    </row>
    <row r="34" spans="2:3" x14ac:dyDescent="0.2">
      <c r="C34" s="73" t="s">
        <v>195</v>
      </c>
    </row>
  </sheetData>
  <sheetProtection algorithmName="SHA-512" hashValue="rPrmV0Fo9/WHJXGUHfUVO7El598rIFgDe9wt3+7Na4YlH+Q3Fd5oblgA9l2xooyym0EJ9KIJj1MdottUzNydIg==" saltValue="iyKDhc5b+XQe70mAWhDfNw==" spinCount="100000" sheet="1" objects="1" scenarios="1" selectLockedCells="1"/>
  <mergeCells count="3">
    <mergeCell ref="B1:D1"/>
    <mergeCell ref="B2:D2"/>
    <mergeCell ref="C16:D16"/>
  </mergeCells>
  <phoneticPr fontId="16"/>
  <conditionalFormatting sqref="C6 C8 C12 C14 C16:D16 C18 C20 C22">
    <cfRule type="containsBlanks" dxfId="15" priority="2">
      <formula>LEN(TRIM(C6))=0</formula>
    </cfRule>
  </conditionalFormatting>
  <conditionalFormatting sqref="C8">
    <cfRule type="containsText" dxfId="14" priority="1" operator="containsText" text="↑">
      <formula>NOT(ISERROR(SEARCH("↑",C8)))</formula>
    </cfRule>
  </conditionalFormatting>
  <hyperlinks>
    <hyperlink ref="G1" location="処理用!A1" display="処理用!A1" xr:uid="{00000000-0004-0000-0000-000000000000}"/>
    <hyperlink ref="C34" r:id="rId1" display="miyakoutaku_pp@yahoo.co.jp" xr:uid="{00000000-0004-0000-0000-000001000000}"/>
    <hyperlink ref="H1" location="処理用!A1" display="処理用!A1" xr:uid="{00000000-0004-0000-0000-000002000000}"/>
    <hyperlink ref="G2" location="処理用!A1" display="処理用!A1" xr:uid="{00000000-0004-0000-0000-000003000000}"/>
    <hyperlink ref="H2" location="処理用!A1" display="処理用!A1" xr:uid="{00000000-0004-0000-0000-000004000000}"/>
  </hyperlinks>
  <pageMargins left="0.78680555555555554" right="0.78680555555555554" top="0.98402777777777772" bottom="0.98402777777777772" header="0.51180555555555551" footer="0.51180555555555551"/>
  <pageSetup paperSize="9" scale="91" firstPageNumber="0"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55" r:id="rId5" name="Option Button 31">
              <controlPr defaultSize="0" autoFill="0" autoLine="0" autoPict="0">
                <anchor moveWithCells="1">
                  <from>
                    <xdr:col>3</xdr:col>
                    <xdr:colOff>546100</xdr:colOff>
                    <xdr:row>8</xdr:row>
                    <xdr:rowOff>31750</xdr:rowOff>
                  </from>
                  <to>
                    <xdr:col>3</xdr:col>
                    <xdr:colOff>1365250</xdr:colOff>
                    <xdr:row>11</xdr:row>
                    <xdr:rowOff>209550</xdr:rowOff>
                  </to>
                </anchor>
              </controlPr>
            </control>
          </mc:Choice>
        </mc:AlternateContent>
        <mc:AlternateContent xmlns:mc="http://schemas.openxmlformats.org/markup-compatibility/2006">
          <mc:Choice Requires="x14">
            <control shapeId="1058" r:id="rId6" name="Option Button 34">
              <controlPr defaultSize="0" autoFill="0" autoLine="0" autoPict="0">
                <anchor moveWithCells="1">
                  <from>
                    <xdr:col>3</xdr:col>
                    <xdr:colOff>546100</xdr:colOff>
                    <xdr:row>11</xdr:row>
                    <xdr:rowOff>171450</xdr:rowOff>
                  </from>
                  <to>
                    <xdr:col>8</xdr:col>
                    <xdr:colOff>393700</xdr:colOff>
                    <xdr:row>13</xdr:row>
                    <xdr:rowOff>76200</xdr:rowOff>
                  </to>
                </anchor>
              </controlPr>
            </control>
          </mc:Choice>
        </mc:AlternateContent>
        <mc:AlternateContent xmlns:mc="http://schemas.openxmlformats.org/markup-compatibility/2006">
          <mc:Choice Requires="x14">
            <control shapeId="1059" r:id="rId7" name="Option Button 35">
              <controlPr defaultSize="0" autoFill="0" autoLine="0" autoPict="0">
                <anchor moveWithCells="1">
                  <from>
                    <xdr:col>3</xdr:col>
                    <xdr:colOff>546100</xdr:colOff>
                    <xdr:row>13</xdr:row>
                    <xdr:rowOff>38100</xdr:rowOff>
                  </from>
                  <to>
                    <xdr:col>8</xdr:col>
                    <xdr:colOff>317500</xdr:colOff>
                    <xdr:row>14</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2"/>
  <sheetViews>
    <sheetView showGridLines="0" showRowColHeaders="0" topLeftCell="E1" zoomScale="85" zoomScaleNormal="85" workbookViewId="0">
      <selection activeCell="H13" sqref="H13"/>
    </sheetView>
  </sheetViews>
  <sheetFormatPr defaultColWidth="9" defaultRowHeight="13" x14ac:dyDescent="0.2"/>
  <cols>
    <col min="1" max="4" width="9" style="6" hidden="1" customWidth="1"/>
    <col min="5" max="5" width="2.6328125" style="6" customWidth="1"/>
    <col min="6" max="6" width="5.08984375" style="6" customWidth="1"/>
    <col min="7" max="8" width="8.453125" style="6" customWidth="1"/>
    <col min="9" max="9" width="19.08984375" style="6" customWidth="1"/>
    <col min="10" max="10" width="5.36328125" style="6" customWidth="1"/>
    <col min="11" max="13" width="9.08984375" style="7" customWidth="1"/>
    <col min="14" max="14" width="7.26953125" style="7" customWidth="1"/>
    <col min="15" max="15" width="2.36328125" style="6" customWidth="1"/>
    <col min="16" max="18" width="9" style="6" hidden="1" customWidth="1"/>
    <col min="19" max="19" width="23" style="6" hidden="1" customWidth="1"/>
    <col min="20" max="31" width="9" style="6" hidden="1" customWidth="1"/>
    <col min="32" max="32" width="9" style="6"/>
    <col min="33" max="33" width="14.6328125" style="6" customWidth="1"/>
    <col min="34" max="34" width="31.90625" style="6" customWidth="1"/>
    <col min="35" max="35" width="19.6328125" style="6" customWidth="1"/>
    <col min="36" max="16384" width="9" style="6"/>
  </cols>
  <sheetData>
    <row r="1" spans="1:35" ht="19" x14ac:dyDescent="0.2">
      <c r="E1" s="123" t="str">
        <f>VLOOKUP(Menu!F1,大会名,2,FALSE)</f>
        <v>６　総体卓球競技参加申込書</v>
      </c>
      <c r="F1" s="123"/>
      <c r="G1" s="123"/>
      <c r="H1" s="123"/>
      <c r="I1" s="123"/>
      <c r="J1" s="123"/>
      <c r="K1" s="123"/>
      <c r="L1" s="123"/>
      <c r="M1" s="123"/>
      <c r="N1" s="123"/>
      <c r="O1" s="123"/>
      <c r="P1" s="8"/>
      <c r="Q1" s="8"/>
      <c r="R1" s="8"/>
      <c r="S1" s="8"/>
      <c r="T1" s="8"/>
      <c r="U1" s="8"/>
    </row>
    <row r="2" spans="1:35" ht="6" customHeight="1" thickBot="1" x14ac:dyDescent="0.25">
      <c r="E2" s="8"/>
      <c r="F2" s="8"/>
      <c r="G2" s="8"/>
      <c r="H2" s="8"/>
      <c r="I2" s="8"/>
      <c r="J2" s="8"/>
      <c r="K2" s="8"/>
      <c r="L2" s="8"/>
      <c r="M2" s="8"/>
      <c r="N2" s="8"/>
      <c r="O2" s="8"/>
      <c r="P2" s="8"/>
      <c r="Q2" s="8"/>
      <c r="R2" s="8"/>
      <c r="S2" s="8"/>
      <c r="T2" s="8"/>
      <c r="U2" s="8"/>
    </row>
    <row r="3" spans="1:35" ht="30" customHeight="1" thickBot="1" x14ac:dyDescent="0.25">
      <c r="F3" s="124" t="s">
        <v>19</v>
      </c>
      <c r="G3" s="124"/>
      <c r="H3" s="69"/>
      <c r="I3" s="82" t="str">
        <f>IF(G38="平成　２８　年　○○　月　○○　日","※申込日を入力して下さい。","")</f>
        <v/>
      </c>
    </row>
    <row r="4" spans="1:35" ht="12" customHeight="1" thickBot="1" x14ac:dyDescent="0.25">
      <c r="F4" s="7"/>
      <c r="G4" s="7"/>
      <c r="H4" s="7"/>
      <c r="I4" s="7"/>
    </row>
    <row r="5" spans="1:35" ht="16.5" customHeight="1" x14ac:dyDescent="0.2">
      <c r="G5" s="131" t="s">
        <v>80</v>
      </c>
      <c r="H5" s="132"/>
      <c r="I5" s="139" t="str">
        <f>IF(Menu!C8="","設定メニューから学校名を入力",Menu!G8)</f>
        <v>↑学校番号を入力して下さい。</v>
      </c>
      <c r="J5" s="139"/>
      <c r="K5" s="139"/>
      <c r="L5" s="120" t="str">
        <f>IF(Menu!C6="","設定の学校番号を入力","学校番号: "&amp;Menu!C6)</f>
        <v>設定の学校番号を入力</v>
      </c>
      <c r="M5" s="121"/>
    </row>
    <row r="6" spans="1:35" ht="16.5" customHeight="1" x14ac:dyDescent="0.2">
      <c r="G6" s="133" t="s">
        <v>81</v>
      </c>
      <c r="H6" s="134"/>
      <c r="I6" s="104" t="str">
        <f>IF(Menu!C16="","設定メニューの所在地名を入力して下さい",Menu!C14&amp;"  "&amp;Menu!C16)</f>
        <v>設定メニューの所在地名を入力して下さい</v>
      </c>
      <c r="J6" s="104"/>
      <c r="K6" s="104"/>
      <c r="L6" s="104"/>
      <c r="M6" s="105"/>
    </row>
    <row r="7" spans="1:35" ht="16.5" customHeight="1" x14ac:dyDescent="0.2">
      <c r="G7" s="135" t="s">
        <v>82</v>
      </c>
      <c r="H7" s="136"/>
      <c r="I7" s="104" t="str">
        <f>IF(Menu!C18="","設定メニューから電話・Ｆａｘ番号を入力して下さい","TEL : "&amp;Menu!C18&amp;"/ FAX : "&amp;Menu!C20)</f>
        <v>設定メニューから電話・Ｆａｘ番号を入力して下さい</v>
      </c>
      <c r="J7" s="104"/>
      <c r="K7" s="104"/>
      <c r="L7" s="104"/>
      <c r="M7" s="105"/>
      <c r="W7" s="6" t="s">
        <v>19</v>
      </c>
    </row>
    <row r="8" spans="1:35" ht="16.5" customHeight="1" thickBot="1" x14ac:dyDescent="0.25">
      <c r="G8" s="137" t="s">
        <v>83</v>
      </c>
      <c r="H8" s="138"/>
      <c r="I8" s="111" t="str">
        <f>IF(Menu!C22="","設定メニューの引率者名を入力して下さい",Menu!C22)</f>
        <v>設定メニューの引率者名を入力して下さい</v>
      </c>
      <c r="J8" s="111"/>
      <c r="K8" s="111"/>
      <c r="L8" s="111"/>
      <c r="M8" s="112"/>
    </row>
    <row r="9" spans="1:35" ht="13.5" thickBot="1" x14ac:dyDescent="0.25">
      <c r="W9" s="6" t="s">
        <v>20</v>
      </c>
    </row>
    <row r="10" spans="1:35" ht="12.75" customHeight="1" x14ac:dyDescent="0.2">
      <c r="F10" s="128" t="s">
        <v>21</v>
      </c>
      <c r="G10" s="140" t="s">
        <v>22</v>
      </c>
      <c r="H10" s="141"/>
      <c r="I10" s="113" t="s">
        <v>23</v>
      </c>
      <c r="J10" s="109" t="s">
        <v>24</v>
      </c>
      <c r="K10" s="109" t="s">
        <v>25</v>
      </c>
      <c r="L10" s="109" t="s">
        <v>26</v>
      </c>
      <c r="M10" s="109" t="s">
        <v>27</v>
      </c>
      <c r="N10" s="125" t="s">
        <v>28</v>
      </c>
      <c r="Y10" s="6" t="str">
        <f>IF(COUNTIF(K14:K28,"○")=8,"","○")</f>
        <v>○</v>
      </c>
      <c r="Z10" s="6">
        <f>IF(COUNTIF($M$14:$M$28,1)&gt;=1,"",1)</f>
        <v>1</v>
      </c>
      <c r="AA10" s="6">
        <f>IF(COUNTIF($L$14:$L$28,1)&gt;=2,"",1)</f>
        <v>1</v>
      </c>
    </row>
    <row r="11" spans="1:35" ht="12.75" customHeight="1" x14ac:dyDescent="0.2">
      <c r="F11" s="129"/>
      <c r="G11" s="142"/>
      <c r="H11" s="143"/>
      <c r="I11" s="114"/>
      <c r="J11" s="116"/>
      <c r="K11" s="110"/>
      <c r="L11" s="110"/>
      <c r="M11" s="110"/>
      <c r="N11" s="126"/>
      <c r="Z11" s="6">
        <f>IF(COUNTIF($M$14:$M$28,2)&gt;=1,"",2)</f>
        <v>2</v>
      </c>
      <c r="AA11" s="6">
        <f>IF(COUNTIF($L$14:$L$28,2)&gt;=2,"",2)</f>
        <v>2</v>
      </c>
    </row>
    <row r="12" spans="1:35" ht="12.75" customHeight="1" thickBot="1" x14ac:dyDescent="0.25">
      <c r="F12" s="130"/>
      <c r="G12" s="65" t="s">
        <v>52</v>
      </c>
      <c r="H12" s="68" t="s">
        <v>53</v>
      </c>
      <c r="I12" s="115"/>
      <c r="J12" s="117"/>
      <c r="K12" s="66" t="str">
        <f>VLOOKUP(E1,$G$45:$L$47,4,FALSE)</f>
        <v>（８名）</v>
      </c>
      <c r="L12" s="66" t="str">
        <f>VLOOKUP(E1,$G$45:$L$47,5,FALSE)</f>
        <v>（４組）</v>
      </c>
      <c r="M12" s="76" t="str">
        <f>VLOOKUP(E1,$G$45:$L$47,6,FALSE)</f>
        <v>（８名）</v>
      </c>
      <c r="N12" s="127"/>
      <c r="Z12" s="6">
        <f>IF(COUNTIF($M$14:$M$28,3)&gt;=1,"",3)</f>
        <v>3</v>
      </c>
      <c r="AA12" s="6">
        <f>IF(COUNTIF($L$14:$L$28,3)&gt;=2,"",3)</f>
        <v>3</v>
      </c>
    </row>
    <row r="13" spans="1:35" ht="30.75" customHeight="1" thickTop="1" thickBot="1" x14ac:dyDescent="0.25">
      <c r="F13" s="9" t="s">
        <v>29</v>
      </c>
      <c r="G13" s="63"/>
      <c r="H13" s="64"/>
      <c r="I13" s="10" t="s">
        <v>30</v>
      </c>
      <c r="J13" s="11"/>
      <c r="K13" s="11"/>
      <c r="L13" s="11"/>
      <c r="M13" s="11"/>
      <c r="N13" s="12"/>
      <c r="Q13" s="6" t="str">
        <f>SUBSTITUTE(SUBSTITUTE(G13,"　","")," ","")</f>
        <v/>
      </c>
      <c r="R13" s="6" t="str">
        <f>SUBSTITUTE(SUBSTITUTE(H13,"　","")," ","")</f>
        <v/>
      </c>
      <c r="S13" s="6" t="str">
        <f>IF(Q13="","",IF(LEN(Q13)=1,Q13&amp;"　　",IF(LEN(Q13)=2,LEFT(Q13,1)&amp;"　"&amp;RIGHT(Q13,1),Q13)))&amp;"　"&amp;IF(R13="","",IF(LEN(R13)=1,"　　"&amp;R13,IF(LEN(R13)=2,LEFT(R13,1)&amp;"　"&amp;RIGHT(R13,1),R13)))</f>
        <v>　</v>
      </c>
      <c r="V13" s="6">
        <f>COUNT(V14:V29)</f>
        <v>0</v>
      </c>
      <c r="Z13" s="6">
        <f>IF(COUNTIF($M$14:$M$28,4)&gt;=1,"",4)</f>
        <v>4</v>
      </c>
      <c r="AA13" s="6">
        <f>IF(COUNTIF($L$14:$L$28,4)&gt;=2,"",4)</f>
        <v>4</v>
      </c>
      <c r="AG13" s="118" t="str">
        <f>MID(E1,3,30)</f>
        <v>総体卓球競技参加申込書</v>
      </c>
      <c r="AH13" s="118"/>
    </row>
    <row r="14" spans="1:35" ht="26.25" customHeight="1" thickTop="1" x14ac:dyDescent="0.2">
      <c r="A14" s="6" t="str">
        <f>IF(V14="","",RANK(V14,$V$14:$V$29,1))</f>
        <v/>
      </c>
      <c r="B14" s="6" t="str">
        <f>IF(W14="","",RANK(W14,$W$14:$W$29,1))</f>
        <v/>
      </c>
      <c r="C14" s="6" t="str">
        <f>IF(M14="","",M14)</f>
        <v/>
      </c>
      <c r="F14" s="13">
        <v>1</v>
      </c>
      <c r="G14" s="41"/>
      <c r="H14" s="42"/>
      <c r="I14" s="14"/>
      <c r="J14" s="15"/>
      <c r="K14" s="15"/>
      <c r="L14" s="15"/>
      <c r="M14" s="15"/>
      <c r="N14" s="16"/>
      <c r="Q14" s="6" t="str">
        <f>SUBSTITUTE(SUBSTITUTE(G14,"　","")," ","")</f>
        <v/>
      </c>
      <c r="R14" s="6" t="str">
        <f>SUBSTITUTE(SUBSTITUTE(H14,"　","")," ","")</f>
        <v/>
      </c>
      <c r="S14" s="6" t="str">
        <f>IF(Q14="","",IF(LEN(Q14)=1,Q14&amp;"　　",IF(LEN(Q14)=2,LEFT(Q14,1)&amp;"　"&amp;RIGHT(Q14,1),Q14)))&amp;"　"&amp;IF(R14="","",IF(LEN(R14)=1,"　　"&amp;R14,IF(LEN(R14)=2,LEFT(R14,1)&amp;"　"&amp;RIGHT(R14,1),R14)))</f>
        <v>　</v>
      </c>
      <c r="T14" s="6">
        <v>1</v>
      </c>
      <c r="U14" s="6">
        <f>IF(COUNT(L14:M14)+COUNTIF(K14,"○")&gt;0,1,0)</f>
        <v>0</v>
      </c>
      <c r="V14" s="6" t="str">
        <f t="shared" ref="V14:V29" si="0">IF(K14="○",F14,"")</f>
        <v/>
      </c>
      <c r="W14" s="6" t="str">
        <f>IF(L14="","",L14+F14/100)</f>
        <v/>
      </c>
      <c r="Z14" s="6">
        <f>IF(COUNTIF($M$14:$M$28,5)&gt;=1,"",5)</f>
        <v>5</v>
      </c>
      <c r="AA14" s="6" t="str">
        <f>IF($E$1="６　一年生卓球競技参加申込書",IF(COUNTIF($L$14:$L$29,5)&gt;=2,"",5),"")</f>
        <v/>
      </c>
      <c r="AB14" s="6" t="s">
        <v>31</v>
      </c>
      <c r="AG14" s="17" t="s">
        <v>32</v>
      </c>
      <c r="AH14" s="119" t="str">
        <f>IF(V13&gt;0,"参加します( "&amp;V13&amp;" 名)","参加しません")</f>
        <v>参加しません</v>
      </c>
      <c r="AI14" s="119"/>
    </row>
    <row r="15" spans="1:35" ht="26.25" customHeight="1" x14ac:dyDescent="0.2">
      <c r="A15" s="6" t="str">
        <f t="shared" ref="A15:A29" si="1">IF(V15="","",RANK(V15,$V$14:$V$29,1))</f>
        <v/>
      </c>
      <c r="B15" s="6" t="str">
        <f t="shared" ref="B15:B29" si="2">IF(W15="","",RANK(W15,$W$14:$W$29,1))</f>
        <v/>
      </c>
      <c r="C15" s="6" t="str">
        <f t="shared" ref="C15:C29" si="3">IF(M15="","",M15)</f>
        <v/>
      </c>
      <c r="F15" s="18">
        <v>2</v>
      </c>
      <c r="G15" s="43"/>
      <c r="H15" s="44"/>
      <c r="I15" s="19"/>
      <c r="J15" s="20"/>
      <c r="K15" s="20"/>
      <c r="L15" s="20"/>
      <c r="M15" s="20"/>
      <c r="N15" s="21"/>
      <c r="Q15" s="6" t="str">
        <f t="shared" ref="Q15:R29" si="4">SUBSTITUTE(SUBSTITUTE(G15,"　","")," ","")</f>
        <v/>
      </c>
      <c r="R15" s="6" t="str">
        <f t="shared" si="4"/>
        <v/>
      </c>
      <c r="S15" s="6" t="str">
        <f t="shared" ref="S15:S29" si="5">IF(Q15="","",IF(LEN(Q15)=1,Q15&amp;"　　",IF(LEN(Q15)=2,LEFT(Q15,1)&amp;"　"&amp;RIGHT(Q15,1),Q15)))&amp;"　"&amp;IF(R15="","",IF(LEN(R15)=1,"　　"&amp;R15,IF(LEN(R15)=2,LEFT(R15,1)&amp;"　"&amp;RIGHT(R15,1),R15)))</f>
        <v>　</v>
      </c>
      <c r="T15" s="6">
        <v>2</v>
      </c>
      <c r="U15" s="6">
        <f t="shared" ref="U15:U29" si="6">IF(COUNT(L15:M15)+COUNTIF(K15,"○")&gt;0,1,0)</f>
        <v>0</v>
      </c>
      <c r="V15" s="6" t="str">
        <f t="shared" si="0"/>
        <v/>
      </c>
      <c r="W15" s="6" t="str">
        <f t="shared" ref="W15:W29" si="7">IF(L15="","",L15+F15/100)</f>
        <v/>
      </c>
      <c r="Z15" s="6">
        <f>IF(COUNTIF($M$14:$M$28,6)&gt;=1,"",6)</f>
        <v>6</v>
      </c>
      <c r="AA15" s="6" t="str">
        <f>IF($E$1="６　一年生卓球競技参加申込書",IF(COUNTIF($L$14:$L$29,6)&gt;=2,"",6),"")</f>
        <v/>
      </c>
      <c r="AB15" s="6" t="s">
        <v>33</v>
      </c>
      <c r="AG15" s="17" t="s">
        <v>26</v>
      </c>
      <c r="AH15" s="22" t="str">
        <f>IF(W32=W33,W33&amp;" 組","申し込みに不備が有ります")</f>
        <v>0 組</v>
      </c>
      <c r="AI15" s="22"/>
    </row>
    <row r="16" spans="1:35" ht="26.25" customHeight="1" x14ac:dyDescent="0.2">
      <c r="A16" s="6" t="str">
        <f t="shared" si="1"/>
        <v/>
      </c>
      <c r="B16" s="6" t="str">
        <f t="shared" si="2"/>
        <v/>
      </c>
      <c r="C16" s="6" t="str">
        <f t="shared" si="3"/>
        <v/>
      </c>
      <c r="F16" s="18">
        <v>3</v>
      </c>
      <c r="G16" s="43"/>
      <c r="H16" s="44"/>
      <c r="I16" s="19"/>
      <c r="J16" s="20"/>
      <c r="K16" s="20"/>
      <c r="L16" s="20"/>
      <c r="M16" s="20"/>
      <c r="N16" s="21"/>
      <c r="Q16" s="6" t="str">
        <f t="shared" si="4"/>
        <v/>
      </c>
      <c r="R16" s="6" t="str">
        <f t="shared" si="4"/>
        <v/>
      </c>
      <c r="S16" s="6" t="str">
        <f t="shared" si="5"/>
        <v>　</v>
      </c>
      <c r="T16" s="6">
        <v>3</v>
      </c>
      <c r="U16" s="6">
        <f t="shared" si="6"/>
        <v>0</v>
      </c>
      <c r="V16" s="6" t="str">
        <f t="shared" si="0"/>
        <v/>
      </c>
      <c r="W16" s="6" t="str">
        <f t="shared" si="7"/>
        <v/>
      </c>
      <c r="Z16" s="6">
        <f>IF(COUNTIF($M$14:$M$28,7)&gt;=1,"",7)</f>
        <v>7</v>
      </c>
      <c r="AA16" s="6" t="str">
        <f>IF($E$1="６　一年生卓球競技参加申込書",IF(COUNTIF($L$14:$L$29,7)&gt;=2,"",7),"")</f>
        <v/>
      </c>
      <c r="AG16" s="17" t="s">
        <v>34</v>
      </c>
      <c r="AH16" s="22" t="str">
        <f>IF(COUNT(M14:M28)=MAX(M14:M28),MAX(M14:M28)&amp;" 人","申し込みに不備が有ります")</f>
        <v>0 人</v>
      </c>
      <c r="AI16" s="22"/>
    </row>
    <row r="17" spans="1:27" ht="26.25" customHeight="1" x14ac:dyDescent="0.2">
      <c r="A17" s="6" t="str">
        <f t="shared" si="1"/>
        <v/>
      </c>
      <c r="B17" s="6" t="str">
        <f t="shared" si="2"/>
        <v/>
      </c>
      <c r="C17" s="6" t="str">
        <f t="shared" si="3"/>
        <v/>
      </c>
      <c r="F17" s="18">
        <v>4</v>
      </c>
      <c r="G17" s="43"/>
      <c r="H17" s="44"/>
      <c r="I17" s="19"/>
      <c r="J17" s="20"/>
      <c r="K17" s="20"/>
      <c r="L17" s="20"/>
      <c r="M17" s="20"/>
      <c r="N17" s="21"/>
      <c r="Q17" s="6" t="str">
        <f t="shared" si="4"/>
        <v/>
      </c>
      <c r="R17" s="6" t="str">
        <f t="shared" si="4"/>
        <v/>
      </c>
      <c r="S17" s="6" t="str">
        <f t="shared" si="5"/>
        <v>　</v>
      </c>
      <c r="U17" s="6">
        <f t="shared" si="6"/>
        <v>0</v>
      </c>
      <c r="V17" s="6" t="str">
        <f t="shared" si="0"/>
        <v/>
      </c>
      <c r="W17" s="6" t="str">
        <f t="shared" si="7"/>
        <v/>
      </c>
      <c r="Z17" s="6">
        <f>IF(COUNTIF($M$14:$M$28,8)&gt;=1,"",8)</f>
        <v>8</v>
      </c>
      <c r="AA17" s="6" t="str">
        <f>IF($E$1="６　一年生卓球競技参加申込書",IF(COUNTIF($L$14:$L$29,8)&gt;=2,"",8),"")</f>
        <v/>
      </c>
    </row>
    <row r="18" spans="1:27" ht="26.25" customHeight="1" x14ac:dyDescent="0.2">
      <c r="A18" s="6" t="str">
        <f t="shared" si="1"/>
        <v/>
      </c>
      <c r="B18" s="6" t="str">
        <f t="shared" si="2"/>
        <v/>
      </c>
      <c r="C18" s="6" t="str">
        <f t="shared" si="3"/>
        <v/>
      </c>
      <c r="F18" s="18">
        <v>5</v>
      </c>
      <c r="G18" s="43"/>
      <c r="H18" s="44"/>
      <c r="I18" s="19"/>
      <c r="J18" s="20"/>
      <c r="K18" s="20"/>
      <c r="L18" s="20"/>
      <c r="M18" s="20"/>
      <c r="N18" s="21"/>
      <c r="Q18" s="6" t="str">
        <f t="shared" si="4"/>
        <v/>
      </c>
      <c r="R18" s="6" t="str">
        <f t="shared" si="4"/>
        <v/>
      </c>
      <c r="S18" s="6" t="str">
        <f t="shared" si="5"/>
        <v>　</v>
      </c>
      <c r="U18" s="6">
        <f t="shared" si="6"/>
        <v>0</v>
      </c>
      <c r="V18" s="6" t="str">
        <f t="shared" si="0"/>
        <v/>
      </c>
      <c r="W18" s="6" t="str">
        <f t="shared" si="7"/>
        <v/>
      </c>
      <c r="Z18" s="6" t="str">
        <f>IF($E$1="６　一年生卓球競技参加申込書",IF(COUNTIF($M$14:$M$29,9)&gt;=1,"",9),"")</f>
        <v/>
      </c>
    </row>
    <row r="19" spans="1:27" ht="26.25" customHeight="1" x14ac:dyDescent="0.2">
      <c r="A19" s="6" t="str">
        <f t="shared" si="1"/>
        <v/>
      </c>
      <c r="B19" s="6" t="str">
        <f t="shared" si="2"/>
        <v/>
      </c>
      <c r="C19" s="6" t="str">
        <f t="shared" si="3"/>
        <v/>
      </c>
      <c r="F19" s="18">
        <v>6</v>
      </c>
      <c r="G19" s="43"/>
      <c r="H19" s="44"/>
      <c r="I19" s="19"/>
      <c r="J19" s="20"/>
      <c r="K19" s="20"/>
      <c r="L19" s="20"/>
      <c r="M19" s="20"/>
      <c r="N19" s="21"/>
      <c r="Q19" s="6" t="str">
        <f t="shared" si="4"/>
        <v/>
      </c>
      <c r="R19" s="6" t="str">
        <f t="shared" si="4"/>
        <v/>
      </c>
      <c r="S19" s="6" t="str">
        <f t="shared" si="5"/>
        <v>　</v>
      </c>
      <c r="U19" s="6">
        <f t="shared" si="6"/>
        <v>0</v>
      </c>
      <c r="V19" s="6" t="str">
        <f t="shared" si="0"/>
        <v/>
      </c>
      <c r="W19" s="6" t="str">
        <f t="shared" si="7"/>
        <v/>
      </c>
      <c r="Z19" s="6" t="str">
        <f>IF($E$1="６　一年生卓球競技参加申込書",IF(COUNTIF($M$14:$M$29,10)&gt;=1,"",10),"")</f>
        <v/>
      </c>
    </row>
    <row r="20" spans="1:27" ht="26.25" customHeight="1" x14ac:dyDescent="0.2">
      <c r="A20" s="6" t="str">
        <f t="shared" si="1"/>
        <v/>
      </c>
      <c r="B20" s="6" t="str">
        <f t="shared" si="2"/>
        <v/>
      </c>
      <c r="C20" s="6" t="str">
        <f t="shared" si="3"/>
        <v/>
      </c>
      <c r="F20" s="18">
        <v>7</v>
      </c>
      <c r="G20" s="43"/>
      <c r="H20" s="44"/>
      <c r="I20" s="19"/>
      <c r="J20" s="20"/>
      <c r="K20" s="20"/>
      <c r="L20" s="20"/>
      <c r="M20" s="20"/>
      <c r="N20" s="21"/>
      <c r="Q20" s="6" t="str">
        <f t="shared" si="4"/>
        <v/>
      </c>
      <c r="R20" s="6" t="str">
        <f t="shared" si="4"/>
        <v/>
      </c>
      <c r="S20" s="6" t="str">
        <f t="shared" si="5"/>
        <v>　</v>
      </c>
      <c r="U20" s="6">
        <f t="shared" si="6"/>
        <v>0</v>
      </c>
      <c r="V20" s="6" t="str">
        <f t="shared" si="0"/>
        <v/>
      </c>
      <c r="W20" s="6" t="str">
        <f t="shared" si="7"/>
        <v/>
      </c>
      <c r="Z20" s="6" t="str">
        <f>IF($E$1="６　一年生卓球競技参加申込書",IF(COUNTIF($M$14:$M$29,11)&gt;=1,"",11),"")</f>
        <v/>
      </c>
    </row>
    <row r="21" spans="1:27" ht="26.25" customHeight="1" x14ac:dyDescent="0.2">
      <c r="A21" s="6" t="str">
        <f t="shared" si="1"/>
        <v/>
      </c>
      <c r="B21" s="6" t="str">
        <f t="shared" si="2"/>
        <v/>
      </c>
      <c r="C21" s="6" t="str">
        <f t="shared" si="3"/>
        <v/>
      </c>
      <c r="F21" s="18">
        <v>8</v>
      </c>
      <c r="G21" s="43"/>
      <c r="H21" s="44"/>
      <c r="I21" s="19"/>
      <c r="J21" s="20"/>
      <c r="K21" s="20"/>
      <c r="L21" s="20"/>
      <c r="M21" s="20"/>
      <c r="N21" s="21"/>
      <c r="Q21" s="6" t="str">
        <f t="shared" si="4"/>
        <v/>
      </c>
      <c r="R21" s="6" t="str">
        <f t="shared" si="4"/>
        <v/>
      </c>
      <c r="S21" s="6" t="str">
        <f t="shared" si="5"/>
        <v>　</v>
      </c>
      <c r="U21" s="6">
        <f t="shared" si="6"/>
        <v>0</v>
      </c>
      <c r="V21" s="6" t="str">
        <f t="shared" si="0"/>
        <v/>
      </c>
      <c r="W21" s="6" t="str">
        <f t="shared" si="7"/>
        <v/>
      </c>
      <c r="Z21" s="6" t="str">
        <f>IF($E$1="６　一年生卓球競技参加申込書",IF(COUNTIF($M$14:$M$29,12)&gt;=1,"",12),"")</f>
        <v/>
      </c>
    </row>
    <row r="22" spans="1:27" ht="26.25" customHeight="1" x14ac:dyDescent="0.2">
      <c r="A22" s="6" t="str">
        <f t="shared" si="1"/>
        <v/>
      </c>
      <c r="B22" s="6" t="str">
        <f t="shared" si="2"/>
        <v/>
      </c>
      <c r="C22" s="6" t="str">
        <f t="shared" si="3"/>
        <v/>
      </c>
      <c r="F22" s="18">
        <v>9</v>
      </c>
      <c r="G22" s="43"/>
      <c r="H22" s="44"/>
      <c r="I22" s="19"/>
      <c r="J22" s="20"/>
      <c r="K22" s="20"/>
      <c r="L22" s="20"/>
      <c r="M22" s="20"/>
      <c r="N22" s="21"/>
      <c r="Q22" s="6" t="str">
        <f t="shared" si="4"/>
        <v/>
      </c>
      <c r="R22" s="6" t="str">
        <f t="shared" si="4"/>
        <v/>
      </c>
      <c r="S22" s="6" t="str">
        <f t="shared" si="5"/>
        <v>　</v>
      </c>
      <c r="U22" s="6">
        <f t="shared" si="6"/>
        <v>0</v>
      </c>
      <c r="V22" s="6" t="str">
        <f t="shared" si="0"/>
        <v/>
      </c>
      <c r="W22" s="6" t="str">
        <f t="shared" si="7"/>
        <v/>
      </c>
      <c r="Z22" s="6" t="str">
        <f>IF($E$1="６　一年生卓球競技参加申込書",IF(COUNTIF($M$14:$M$29,13)&gt;=1,"",13),"")</f>
        <v/>
      </c>
    </row>
    <row r="23" spans="1:27" ht="26.25" customHeight="1" x14ac:dyDescent="0.2">
      <c r="A23" s="6" t="str">
        <f t="shared" si="1"/>
        <v/>
      </c>
      <c r="B23" s="6" t="str">
        <f t="shared" si="2"/>
        <v/>
      </c>
      <c r="C23" s="6" t="str">
        <f t="shared" si="3"/>
        <v/>
      </c>
      <c r="F23" s="18">
        <v>10</v>
      </c>
      <c r="G23" s="43"/>
      <c r="H23" s="44"/>
      <c r="I23" s="19"/>
      <c r="J23" s="20"/>
      <c r="K23" s="20"/>
      <c r="L23" s="20"/>
      <c r="M23" s="20"/>
      <c r="N23" s="21"/>
      <c r="Q23" s="6" t="str">
        <f t="shared" si="4"/>
        <v/>
      </c>
      <c r="R23" s="6" t="str">
        <f t="shared" si="4"/>
        <v/>
      </c>
      <c r="S23" s="6" t="str">
        <f t="shared" si="5"/>
        <v>　</v>
      </c>
      <c r="U23" s="6">
        <f t="shared" si="6"/>
        <v>0</v>
      </c>
      <c r="V23" s="6" t="str">
        <f t="shared" si="0"/>
        <v/>
      </c>
      <c r="W23" s="6" t="str">
        <f t="shared" si="7"/>
        <v/>
      </c>
      <c r="Z23" s="6" t="str">
        <f>IF($E$1="６　一年生卓球競技参加申込書",IF(COUNTIF($M$14:$M$29,14)&gt;=1,"",14),"")</f>
        <v/>
      </c>
    </row>
    <row r="24" spans="1:27" ht="26.25" customHeight="1" x14ac:dyDescent="0.2">
      <c r="A24" s="6" t="str">
        <f t="shared" si="1"/>
        <v/>
      </c>
      <c r="B24" s="6" t="str">
        <f t="shared" si="2"/>
        <v/>
      </c>
      <c r="C24" s="6" t="str">
        <f t="shared" si="3"/>
        <v/>
      </c>
      <c r="F24" s="18">
        <v>11</v>
      </c>
      <c r="G24" s="43"/>
      <c r="H24" s="44"/>
      <c r="I24" s="19"/>
      <c r="J24" s="20"/>
      <c r="K24" s="20"/>
      <c r="L24" s="20"/>
      <c r="M24" s="20"/>
      <c r="N24" s="21"/>
      <c r="Q24" s="6" t="str">
        <f t="shared" si="4"/>
        <v/>
      </c>
      <c r="R24" s="6" t="str">
        <f t="shared" si="4"/>
        <v/>
      </c>
      <c r="S24" s="6" t="str">
        <f t="shared" si="5"/>
        <v>　</v>
      </c>
      <c r="U24" s="6">
        <f t="shared" si="6"/>
        <v>0</v>
      </c>
      <c r="V24" s="6" t="str">
        <f t="shared" si="0"/>
        <v/>
      </c>
      <c r="W24" s="6" t="str">
        <f t="shared" si="7"/>
        <v/>
      </c>
      <c r="Z24" s="6" t="str">
        <f>IF($E$1="６　一年生卓球競技参加申込書",IF(COUNTIF($M$14:$M$29,15)&gt;=1,"",15),"")</f>
        <v/>
      </c>
    </row>
    <row r="25" spans="1:27" ht="26.25" customHeight="1" x14ac:dyDescent="0.2">
      <c r="A25" s="6" t="str">
        <f t="shared" si="1"/>
        <v/>
      </c>
      <c r="B25" s="6" t="str">
        <f t="shared" si="2"/>
        <v/>
      </c>
      <c r="C25" s="6" t="str">
        <f t="shared" si="3"/>
        <v/>
      </c>
      <c r="F25" s="18">
        <v>12</v>
      </c>
      <c r="G25" s="43"/>
      <c r="H25" s="44"/>
      <c r="I25" s="19"/>
      <c r="J25" s="20"/>
      <c r="K25" s="20"/>
      <c r="L25" s="20"/>
      <c r="M25" s="20"/>
      <c r="N25" s="21"/>
      <c r="Q25" s="6" t="str">
        <f t="shared" si="4"/>
        <v/>
      </c>
      <c r="R25" s="6" t="str">
        <f t="shared" si="4"/>
        <v/>
      </c>
      <c r="S25" s="6" t="str">
        <f t="shared" si="5"/>
        <v>　</v>
      </c>
      <c r="U25" s="6">
        <f t="shared" si="6"/>
        <v>0</v>
      </c>
      <c r="V25" s="6" t="str">
        <f t="shared" si="0"/>
        <v/>
      </c>
      <c r="W25" s="6" t="str">
        <f t="shared" si="7"/>
        <v/>
      </c>
      <c r="Z25" s="6" t="str">
        <f>IF($E$1="６　一年生卓球競技参加申込書",IF(COUNTIF($M$14:$M$29,16)&gt;=1,"",16),"")</f>
        <v/>
      </c>
    </row>
    <row r="26" spans="1:27" ht="26.25" customHeight="1" x14ac:dyDescent="0.2">
      <c r="A26" s="6" t="str">
        <f t="shared" si="1"/>
        <v/>
      </c>
      <c r="B26" s="6" t="str">
        <f t="shared" si="2"/>
        <v/>
      </c>
      <c r="C26" s="6" t="str">
        <f t="shared" si="3"/>
        <v/>
      </c>
      <c r="F26" s="18">
        <v>13</v>
      </c>
      <c r="G26" s="43"/>
      <c r="H26" s="44"/>
      <c r="I26" s="19"/>
      <c r="J26" s="20"/>
      <c r="K26" s="20"/>
      <c r="L26" s="20"/>
      <c r="M26" s="20"/>
      <c r="N26" s="21"/>
      <c r="Q26" s="6" t="str">
        <f t="shared" si="4"/>
        <v/>
      </c>
      <c r="R26" s="6" t="str">
        <f t="shared" si="4"/>
        <v/>
      </c>
      <c r="S26" s="6" t="str">
        <f t="shared" si="5"/>
        <v>　</v>
      </c>
      <c r="U26" s="6">
        <f t="shared" si="6"/>
        <v>0</v>
      </c>
      <c r="V26" s="6" t="str">
        <f t="shared" si="0"/>
        <v/>
      </c>
      <c r="W26" s="6" t="str">
        <f t="shared" si="7"/>
        <v/>
      </c>
    </row>
    <row r="27" spans="1:27" ht="26.25" customHeight="1" x14ac:dyDescent="0.2">
      <c r="A27" s="6" t="str">
        <f t="shared" si="1"/>
        <v/>
      </c>
      <c r="B27" s="6" t="str">
        <f t="shared" si="2"/>
        <v/>
      </c>
      <c r="C27" s="6" t="str">
        <f t="shared" si="3"/>
        <v/>
      </c>
      <c r="F27" s="18">
        <v>14</v>
      </c>
      <c r="G27" s="43"/>
      <c r="H27" s="44"/>
      <c r="I27" s="19"/>
      <c r="J27" s="20"/>
      <c r="K27" s="20"/>
      <c r="L27" s="20"/>
      <c r="M27" s="20"/>
      <c r="N27" s="21"/>
      <c r="Q27" s="6" t="str">
        <f t="shared" si="4"/>
        <v/>
      </c>
      <c r="R27" s="6" t="str">
        <f t="shared" si="4"/>
        <v/>
      </c>
      <c r="S27" s="6" t="str">
        <f t="shared" si="5"/>
        <v>　</v>
      </c>
      <c r="U27" s="6">
        <f t="shared" si="6"/>
        <v>0</v>
      </c>
      <c r="V27" s="6" t="str">
        <f t="shared" si="0"/>
        <v/>
      </c>
      <c r="W27" s="6" t="str">
        <f t="shared" si="7"/>
        <v/>
      </c>
    </row>
    <row r="28" spans="1:27" ht="26.25" customHeight="1" x14ac:dyDescent="0.2">
      <c r="A28" s="6" t="str">
        <f t="shared" si="1"/>
        <v/>
      </c>
      <c r="B28" s="6" t="str">
        <f t="shared" si="2"/>
        <v/>
      </c>
      <c r="C28" s="6" t="str">
        <f t="shared" si="3"/>
        <v/>
      </c>
      <c r="F28" s="18">
        <v>15</v>
      </c>
      <c r="G28" s="43"/>
      <c r="H28" s="44"/>
      <c r="I28" s="19"/>
      <c r="J28" s="20"/>
      <c r="K28" s="20"/>
      <c r="L28" s="23"/>
      <c r="M28" s="23"/>
      <c r="N28" s="24"/>
      <c r="Q28" s="6" t="str">
        <f t="shared" si="4"/>
        <v/>
      </c>
      <c r="R28" s="6" t="str">
        <f t="shared" si="4"/>
        <v/>
      </c>
      <c r="S28" s="6" t="str">
        <f t="shared" si="5"/>
        <v>　</v>
      </c>
      <c r="U28" s="6">
        <f t="shared" si="6"/>
        <v>0</v>
      </c>
      <c r="V28" s="6" t="str">
        <f t="shared" si="0"/>
        <v/>
      </c>
      <c r="W28" s="6" t="str">
        <f t="shared" si="7"/>
        <v/>
      </c>
    </row>
    <row r="29" spans="1:27" ht="26.25" customHeight="1" thickBot="1" x14ac:dyDescent="0.25">
      <c r="A29" s="6" t="str">
        <f t="shared" si="1"/>
        <v/>
      </c>
      <c r="B29" s="6" t="str">
        <f t="shared" si="2"/>
        <v/>
      </c>
      <c r="C29" s="6" t="str">
        <f t="shared" si="3"/>
        <v/>
      </c>
      <c r="F29" s="25">
        <v>16</v>
      </c>
      <c r="G29" s="45"/>
      <c r="H29" s="46"/>
      <c r="I29" s="26"/>
      <c r="J29" s="27"/>
      <c r="K29" s="27"/>
      <c r="L29" s="23"/>
      <c r="M29" s="23"/>
      <c r="N29" s="24"/>
      <c r="Q29" s="6" t="str">
        <f t="shared" si="4"/>
        <v/>
      </c>
      <c r="R29" s="6" t="str">
        <f t="shared" si="4"/>
        <v/>
      </c>
      <c r="S29" s="6" t="str">
        <f t="shared" si="5"/>
        <v>　</v>
      </c>
      <c r="U29" s="6">
        <f t="shared" si="6"/>
        <v>0</v>
      </c>
      <c r="V29" s="6" t="str">
        <f t="shared" si="0"/>
        <v/>
      </c>
      <c r="W29" s="6" t="str">
        <f t="shared" si="7"/>
        <v/>
      </c>
    </row>
    <row r="30" spans="1:27" ht="28.5" customHeight="1" thickBot="1" x14ac:dyDescent="0.25">
      <c r="B30" s="61">
        <f>MAX(B14:B29)/2</f>
        <v>0</v>
      </c>
      <c r="C30" s="62">
        <f>MAX(C14:C29)</f>
        <v>0</v>
      </c>
      <c r="F30" s="28"/>
      <c r="G30" s="28"/>
      <c r="H30" s="28"/>
      <c r="I30" s="28"/>
      <c r="J30" s="28"/>
      <c r="K30" s="29"/>
      <c r="L30" s="30" t="s">
        <v>35</v>
      </c>
      <c r="M30" s="122">
        <f>SUM(U14:U29)</f>
        <v>0</v>
      </c>
      <c r="N30" s="122"/>
    </row>
    <row r="31" spans="1:27" x14ac:dyDescent="0.2">
      <c r="F31" s="83"/>
      <c r="G31" s="28" t="str">
        <f>"申込締切日　：　"&amp;VLOOKUP(Menu!F1,F45:N47,9,FALSE)</f>
        <v>申込締切日　：　令和6年4月26日（金）</v>
      </c>
      <c r="H31" s="28"/>
      <c r="I31" s="28"/>
      <c r="J31" s="28"/>
      <c r="K31" s="29"/>
      <c r="L31" s="29"/>
      <c r="M31" s="29"/>
      <c r="N31" s="29"/>
      <c r="W31" s="6" t="s">
        <v>36</v>
      </c>
    </row>
    <row r="32" spans="1:27" x14ac:dyDescent="0.2">
      <c r="F32" s="83" t="s">
        <v>37</v>
      </c>
      <c r="G32" s="28" t="s">
        <v>38</v>
      </c>
      <c r="H32" s="28"/>
      <c r="I32" s="28"/>
      <c r="J32" s="28"/>
      <c r="K32" s="29"/>
      <c r="L32" s="29"/>
      <c r="M32" s="29"/>
      <c r="N32" s="29"/>
      <c r="W32" s="6">
        <f>MAX(L14:L29)</f>
        <v>0</v>
      </c>
    </row>
    <row r="33" spans="6:37" x14ac:dyDescent="0.2">
      <c r="F33" s="83" t="s">
        <v>37</v>
      </c>
      <c r="G33" s="28" t="str">
        <f>"ダブルス"&amp;VLOOKUP(E1,G45:N47,5,FALSE)&amp;"、シングルス"&amp;VLOOKUP(E1,G45:N47,6,FALSE)&amp;"は強い順にそれぞれの欄の番号を付けてください。"</f>
        <v>ダブルス（４組）、シングルス（８名）は強い順にそれぞれの欄の番号を付けてください。</v>
      </c>
      <c r="H33" s="28"/>
      <c r="I33" s="28"/>
      <c r="J33" s="28"/>
      <c r="K33" s="29"/>
      <c r="L33" s="29"/>
      <c r="M33" s="29"/>
      <c r="N33" s="29"/>
      <c r="W33" s="6">
        <f>ROUNDDOWN(COUNT(L14:L29)/2,0)</f>
        <v>0</v>
      </c>
    </row>
    <row r="34" spans="6:37" x14ac:dyDescent="0.2">
      <c r="F34" s="28"/>
      <c r="G34" s="28" t="s">
        <v>39</v>
      </c>
      <c r="H34" s="28"/>
      <c r="I34" s="28"/>
      <c r="J34" s="28"/>
      <c r="K34" s="29"/>
      <c r="L34" s="29"/>
      <c r="M34" s="29"/>
      <c r="N34" s="29"/>
    </row>
    <row r="35" spans="6:37" x14ac:dyDescent="0.2">
      <c r="F35" s="28" t="s">
        <v>40</v>
      </c>
      <c r="G35" s="28"/>
      <c r="H35" s="28"/>
      <c r="I35" s="28"/>
      <c r="J35" s="28"/>
      <c r="K35" s="29"/>
      <c r="L35" s="29"/>
      <c r="M35" s="29"/>
      <c r="N35" s="29"/>
    </row>
    <row r="36" spans="6:37" x14ac:dyDescent="0.2">
      <c r="F36" s="28" t="s">
        <v>41</v>
      </c>
      <c r="G36" s="28"/>
      <c r="H36" s="28"/>
      <c r="I36" s="28"/>
      <c r="J36" s="28"/>
      <c r="K36" s="29"/>
      <c r="L36" s="29"/>
      <c r="M36" s="29"/>
      <c r="N36" s="29"/>
    </row>
    <row r="37" spans="6:37" ht="8.25" customHeight="1" x14ac:dyDescent="0.2">
      <c r="F37" s="28"/>
      <c r="G37" s="28"/>
      <c r="H37" s="28"/>
      <c r="I37" s="28"/>
      <c r="J37" s="28"/>
      <c r="K37" s="29"/>
      <c r="L37" s="29"/>
      <c r="M37" s="29"/>
      <c r="N37" s="29"/>
    </row>
    <row r="38" spans="6:37" ht="14" x14ac:dyDescent="0.2">
      <c r="F38" s="28"/>
      <c r="G38" s="107" t="s">
        <v>193</v>
      </c>
      <c r="H38" s="107"/>
      <c r="I38" s="107"/>
      <c r="J38" s="107"/>
      <c r="K38" s="29"/>
      <c r="L38" s="29"/>
      <c r="M38" s="29"/>
      <c r="N38" s="29"/>
      <c r="O38" s="31"/>
      <c r="P38" s="31"/>
      <c r="Q38" s="31"/>
      <c r="R38" s="31"/>
      <c r="S38" s="31"/>
      <c r="T38" s="31"/>
      <c r="U38" s="31"/>
    </row>
    <row r="39" spans="6:37" x14ac:dyDescent="0.2">
      <c r="F39" s="28"/>
      <c r="G39" s="28"/>
      <c r="H39" s="28"/>
      <c r="I39" s="28"/>
      <c r="J39" s="28"/>
      <c r="K39" s="29"/>
      <c r="L39" s="29"/>
      <c r="M39" s="29"/>
      <c r="N39" s="29"/>
    </row>
    <row r="40" spans="6:37" ht="14" x14ac:dyDescent="0.2">
      <c r="F40" s="28"/>
      <c r="G40" s="28"/>
      <c r="H40" s="108" t="str">
        <f>IF(Menu!C8="","高等学校",Menu!G8)</f>
        <v>↑学校番号を入力して下さい。</v>
      </c>
      <c r="I40" s="108"/>
      <c r="J40" s="108"/>
      <c r="K40" s="84" t="s">
        <v>85</v>
      </c>
      <c r="L40" s="106" t="str">
        <f>IF(Menu!C12="","校長名を入力する",Menu!C12)</f>
        <v>校長名を入力する</v>
      </c>
      <c r="M40" s="106"/>
      <c r="N40" s="85" t="s">
        <v>84</v>
      </c>
    </row>
    <row r="41" spans="6:37" x14ac:dyDescent="0.2">
      <c r="F41" s="28"/>
      <c r="G41" s="28"/>
      <c r="H41" s="28"/>
      <c r="I41" s="28"/>
      <c r="J41" s="28"/>
      <c r="K41" s="29"/>
      <c r="L41" s="29"/>
      <c r="M41" s="29"/>
      <c r="N41" s="29"/>
    </row>
    <row r="43" spans="6:37" s="32" customFormat="1" x14ac:dyDescent="0.2">
      <c r="K43" s="33"/>
      <c r="L43" s="33"/>
      <c r="M43" s="33"/>
      <c r="N43" s="33"/>
    </row>
    <row r="44" spans="6:37" s="32" customFormat="1" ht="12.75" hidden="1" customHeight="1" x14ac:dyDescent="0.2">
      <c r="K44" s="33"/>
      <c r="L44" s="33"/>
      <c r="M44" s="33"/>
      <c r="N44" s="33"/>
    </row>
    <row r="45" spans="6:37" s="32" customFormat="1" hidden="1" x14ac:dyDescent="0.2">
      <c r="F45" s="32">
        <v>1</v>
      </c>
      <c r="G45" s="32" t="s">
        <v>18</v>
      </c>
      <c r="I45" s="32" t="s">
        <v>55</v>
      </c>
      <c r="J45" s="32" t="s">
        <v>42</v>
      </c>
      <c r="K45" s="32" t="s">
        <v>43</v>
      </c>
      <c r="L45" s="32" t="s">
        <v>42</v>
      </c>
      <c r="N45" s="34" t="str">
        <f>Menu!C25</f>
        <v>令和6年4月26日（金）</v>
      </c>
    </row>
    <row r="46" spans="6:37" s="32" customFormat="1" hidden="1" x14ac:dyDescent="0.2">
      <c r="F46" s="32">
        <v>2</v>
      </c>
      <c r="G46" s="32" t="s">
        <v>44</v>
      </c>
      <c r="I46" s="32" t="s">
        <v>56</v>
      </c>
      <c r="J46" s="32" t="s">
        <v>42</v>
      </c>
      <c r="K46" s="32" t="s">
        <v>45</v>
      </c>
      <c r="L46" s="32" t="s">
        <v>45</v>
      </c>
      <c r="N46" s="34" t="str">
        <f>Menu!C26</f>
        <v>令和6年7月18日（木）</v>
      </c>
    </row>
    <row r="47" spans="6:37" s="32" customFormat="1" hidden="1" x14ac:dyDescent="0.2">
      <c r="F47" s="32">
        <v>3</v>
      </c>
      <c r="G47" s="32" t="s">
        <v>46</v>
      </c>
      <c r="I47" s="32" t="s">
        <v>57</v>
      </c>
      <c r="J47" s="32" t="s">
        <v>42</v>
      </c>
      <c r="K47" s="32" t="s">
        <v>43</v>
      </c>
      <c r="L47" s="32" t="s">
        <v>42</v>
      </c>
      <c r="N47" s="34" t="str">
        <f>Menu!C27</f>
        <v>令和6年9月17日（火）</v>
      </c>
    </row>
    <row r="48" spans="6:37" s="32" customFormat="1" ht="12.75" hidden="1" customHeight="1" x14ac:dyDescent="0.2">
      <c r="K48" s="33"/>
      <c r="L48" s="33"/>
      <c r="M48" s="33"/>
      <c r="N48" s="33"/>
      <c r="AK48" s="35"/>
    </row>
    <row r="49" spans="6:37" s="32" customFormat="1" x14ac:dyDescent="0.2">
      <c r="K49" s="33"/>
      <c r="L49" s="33"/>
      <c r="M49" s="33"/>
      <c r="N49" s="33"/>
      <c r="AJ49" s="35"/>
      <c r="AK49" s="36"/>
    </row>
    <row r="50" spans="6:37" s="32" customFormat="1" x14ac:dyDescent="0.2">
      <c r="K50" s="33"/>
      <c r="M50" s="33"/>
      <c r="N50" s="33"/>
      <c r="AJ50" s="33"/>
      <c r="AK50" s="36"/>
    </row>
    <row r="51" spans="6:37" x14ac:dyDescent="0.2">
      <c r="L51" s="6"/>
      <c r="AK51" s="37"/>
    </row>
    <row r="52" spans="6:37" x14ac:dyDescent="0.2">
      <c r="L52" s="6"/>
      <c r="AJ52" s="38"/>
    </row>
    <row r="53" spans="6:37" x14ac:dyDescent="0.2">
      <c r="F53"/>
    </row>
    <row r="93" spans="32:36" x14ac:dyDescent="0.2">
      <c r="AF93"/>
      <c r="AG93"/>
      <c r="AH93"/>
      <c r="AI93"/>
      <c r="AJ93"/>
    </row>
    <row r="94" spans="32:36" x14ac:dyDescent="0.2">
      <c r="AF94"/>
      <c r="AG94"/>
      <c r="AH94"/>
      <c r="AI94"/>
      <c r="AJ94"/>
    </row>
    <row r="95" spans="32:36" x14ac:dyDescent="0.2">
      <c r="AF95"/>
      <c r="AG95"/>
      <c r="AH95"/>
      <c r="AI95"/>
      <c r="AJ95"/>
    </row>
    <row r="96" spans="32:36" x14ac:dyDescent="0.2">
      <c r="AF96"/>
      <c r="AG96"/>
      <c r="AH96"/>
      <c r="AI96"/>
      <c r="AJ96"/>
    </row>
    <row r="97" spans="32:36" x14ac:dyDescent="0.2">
      <c r="AF97"/>
      <c r="AG97"/>
      <c r="AH97"/>
      <c r="AI97"/>
      <c r="AJ97"/>
    </row>
    <row r="98" spans="32:36" x14ac:dyDescent="0.2">
      <c r="AF98"/>
      <c r="AG98"/>
      <c r="AH98"/>
      <c r="AI98"/>
      <c r="AJ98"/>
    </row>
    <row r="99" spans="32:36" x14ac:dyDescent="0.2">
      <c r="AF99"/>
      <c r="AG99"/>
      <c r="AH99"/>
      <c r="AI99"/>
      <c r="AJ99"/>
    </row>
    <row r="100" spans="32:36" x14ac:dyDescent="0.2">
      <c r="AF100"/>
      <c r="AG100"/>
      <c r="AH100"/>
      <c r="AI100"/>
      <c r="AJ100"/>
    </row>
    <row r="101" spans="32:36" x14ac:dyDescent="0.2">
      <c r="AF101"/>
      <c r="AG101"/>
      <c r="AH101"/>
      <c r="AI101"/>
      <c r="AJ101"/>
    </row>
    <row r="102" spans="32:36" x14ac:dyDescent="0.2">
      <c r="AF102"/>
      <c r="AG102"/>
      <c r="AH102"/>
      <c r="AI102"/>
      <c r="AJ102"/>
    </row>
  </sheetData>
  <sheetProtection algorithmName="SHA-512" hashValue="AbHuabAt/3gTR2nRL19d/sF/hxiZ2PMx3a4aC5bDNecpYc8Olt8/lQO5+NPG0Ylxq+jaEQUj0V3xT0Yu9BDYPg==" saltValue="K0Tvdvv1vwCgKrR31On2iw==" spinCount="100000" sheet="1" objects="1" scenarios="1" selectLockedCells="1"/>
  <mergeCells count="25">
    <mergeCell ref="AG13:AH13"/>
    <mergeCell ref="AH14:AI14"/>
    <mergeCell ref="L5:M5"/>
    <mergeCell ref="M30:N30"/>
    <mergeCell ref="E1:O1"/>
    <mergeCell ref="F3:G3"/>
    <mergeCell ref="M10:M11"/>
    <mergeCell ref="N10:N12"/>
    <mergeCell ref="F10:F12"/>
    <mergeCell ref="G5:H5"/>
    <mergeCell ref="G6:H6"/>
    <mergeCell ref="G7:H7"/>
    <mergeCell ref="G8:H8"/>
    <mergeCell ref="I5:K5"/>
    <mergeCell ref="I6:M6"/>
    <mergeCell ref="G10:H11"/>
    <mergeCell ref="I7:M7"/>
    <mergeCell ref="L40:M40"/>
    <mergeCell ref="G38:J38"/>
    <mergeCell ref="H40:J40"/>
    <mergeCell ref="L10:L11"/>
    <mergeCell ref="I8:M8"/>
    <mergeCell ref="I10:I12"/>
    <mergeCell ref="J10:J12"/>
    <mergeCell ref="K10:K11"/>
  </mergeCells>
  <phoneticPr fontId="16"/>
  <conditionalFormatting sqref="I5:K5">
    <cfRule type="containsText" dxfId="13" priority="1" operator="containsText" text="○">
      <formula>NOT(ISERROR(SEARCH("○",I5)))</formula>
    </cfRule>
  </conditionalFormatting>
  <conditionalFormatting sqref="I6:M8">
    <cfRule type="containsText" dxfId="12" priority="3" operator="containsText" text="設定">
      <formula>NOT(ISERROR(SEARCH("設定",I6)))</formula>
    </cfRule>
  </conditionalFormatting>
  <conditionalFormatting sqref="L5:M5">
    <cfRule type="containsText" dxfId="11" priority="2" operator="containsText" text="設定の学校番号を入力">
      <formula>NOT(ISERROR(SEARCH("設定の学校番号を入力",L5)))</formula>
    </cfRule>
  </conditionalFormatting>
  <conditionalFormatting sqref="AH15:AH16">
    <cfRule type="cellIs" dxfId="10" priority="5" stopIfTrue="1" operator="equal">
      <formula>"申し込みに不備が有ります"</formula>
    </cfRule>
  </conditionalFormatting>
  <conditionalFormatting sqref="AH14:AI14">
    <cfRule type="cellIs" dxfId="9" priority="6" stopIfTrue="1" operator="equal">
      <formula>"参加しません"</formula>
    </cfRule>
  </conditionalFormatting>
  <dataValidations count="5">
    <dataValidation type="list" allowBlank="1" showErrorMessage="1" sqref="K14:K29" xr:uid="{00000000-0002-0000-0100-000000000000}">
      <formula1>$Y$9:$Y$10</formula1>
      <formula2>0</formula2>
    </dataValidation>
    <dataValidation type="list" allowBlank="1" showErrorMessage="1" sqref="J14:J29" xr:uid="{00000000-0002-0000-0100-000001000000}">
      <formula1>$T$14:$T$16</formula1>
      <formula2>0</formula2>
    </dataValidation>
    <dataValidation allowBlank="1" showErrorMessage="1" sqref="N14:N29 G14:I29" xr:uid="{00000000-0002-0000-0100-000002000000}">
      <formula1>0</formula1>
      <formula2>0</formula2>
    </dataValidation>
    <dataValidation type="list" allowBlank="1" showErrorMessage="1" sqref="L14:L29" xr:uid="{00000000-0002-0000-0100-000003000000}">
      <formula1>$AA$9:$AA$17</formula1>
      <formula2>0</formula2>
    </dataValidation>
    <dataValidation type="list" allowBlank="1" showErrorMessage="1" sqref="M14:M29" xr:uid="{00000000-0002-0000-0100-000004000000}">
      <formula1>$Z$9:$Z$24</formula1>
      <formula2>0</formula2>
    </dataValidation>
  </dataValidations>
  <printOptions horizontalCentered="1" verticalCentered="1"/>
  <pageMargins left="0.31527777777777777" right="0.35416666666666669" top="0.35416666666666669" bottom="0.35416666666666669" header="0.51180555555555551" footer="0.51180555555555551"/>
  <pageSetup paperSize="9" scale="105"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00"/>
  <sheetViews>
    <sheetView showGridLines="0" showRowColHeaders="0" topLeftCell="E4" zoomScale="85" zoomScaleNormal="85" workbookViewId="0">
      <selection activeCell="G38" sqref="G38:J38"/>
    </sheetView>
  </sheetViews>
  <sheetFormatPr defaultColWidth="9" defaultRowHeight="13" x14ac:dyDescent="0.2"/>
  <cols>
    <col min="1" max="4" width="9" style="6" hidden="1" customWidth="1"/>
    <col min="5" max="5" width="2.6328125" style="6" customWidth="1"/>
    <col min="6" max="6" width="5.08984375" style="6" customWidth="1"/>
    <col min="7" max="8" width="8.453125" style="6" customWidth="1"/>
    <col min="9" max="9" width="19.08984375" style="6" customWidth="1"/>
    <col min="10" max="10" width="5.36328125" style="6" customWidth="1"/>
    <col min="11" max="13" width="9.08984375" style="7" customWidth="1"/>
    <col min="14" max="14" width="7.26953125" style="7" customWidth="1"/>
    <col min="15" max="15" width="2.36328125" style="6" customWidth="1"/>
    <col min="16" max="18" width="9" style="6" hidden="1" customWidth="1"/>
    <col min="19" max="19" width="23" style="6" hidden="1" customWidth="1"/>
    <col min="20" max="31" width="9" style="6" hidden="1" customWidth="1"/>
    <col min="32" max="32" width="9" style="6"/>
    <col min="33" max="33" width="14.6328125" style="6" customWidth="1"/>
    <col min="34" max="34" width="31.90625" style="6" customWidth="1"/>
    <col min="35" max="35" width="19.6328125" style="6" customWidth="1"/>
    <col min="36" max="16384" width="9" style="6"/>
  </cols>
  <sheetData>
    <row r="1" spans="1:35" ht="19" x14ac:dyDescent="0.2">
      <c r="E1" s="123" t="str">
        <f>VLOOKUP(Menu!F1,大会名,2,FALSE)</f>
        <v>６　総体卓球競技参加申込書</v>
      </c>
      <c r="F1" s="123"/>
      <c r="G1" s="123"/>
      <c r="H1" s="123"/>
      <c r="I1" s="123"/>
      <c r="J1" s="123"/>
      <c r="K1" s="123"/>
      <c r="L1" s="123"/>
      <c r="M1" s="123"/>
      <c r="N1" s="123"/>
      <c r="O1" s="123"/>
      <c r="P1" s="8"/>
      <c r="Q1" s="8"/>
      <c r="R1" s="8"/>
      <c r="S1" s="8"/>
      <c r="T1" s="8"/>
      <c r="U1" s="8"/>
    </row>
    <row r="2" spans="1:35" ht="6" customHeight="1" thickBot="1" x14ac:dyDescent="0.25">
      <c r="E2" s="8"/>
      <c r="F2" s="8"/>
      <c r="G2" s="8"/>
      <c r="H2" s="8"/>
      <c r="I2" s="8"/>
      <c r="J2" s="8"/>
      <c r="K2" s="8"/>
      <c r="L2" s="8"/>
      <c r="M2" s="8"/>
      <c r="N2" s="8"/>
      <c r="O2" s="8"/>
      <c r="P2" s="8"/>
      <c r="Q2" s="8"/>
      <c r="R2" s="8"/>
      <c r="S2" s="8"/>
      <c r="T2" s="8"/>
      <c r="U2" s="8"/>
    </row>
    <row r="3" spans="1:35" ht="30" customHeight="1" thickBot="1" x14ac:dyDescent="0.25">
      <c r="F3" s="144" t="s">
        <v>58</v>
      </c>
      <c r="G3" s="144"/>
      <c r="H3" s="69"/>
      <c r="I3" s="82" t="str">
        <f>IF(G38="平成　２８　年　○○　月　○○　日","※申込日を入力して下さい。","")</f>
        <v/>
      </c>
    </row>
    <row r="4" spans="1:35" ht="12" customHeight="1" thickBot="1" x14ac:dyDescent="0.25">
      <c r="F4" s="7"/>
      <c r="G4" s="7"/>
      <c r="H4" s="7"/>
      <c r="I4" s="7"/>
    </row>
    <row r="5" spans="1:35" ht="16.5" customHeight="1" x14ac:dyDescent="0.2">
      <c r="G5" s="131" t="s">
        <v>80</v>
      </c>
      <c r="H5" s="132"/>
      <c r="I5" s="139" t="str">
        <f>IF(Menu!C8="","設定メニューから学校名を入力",Menu!G8)</f>
        <v>↑学校番号を入力して下さい。</v>
      </c>
      <c r="J5" s="139"/>
      <c r="K5" s="139"/>
      <c r="L5" s="120" t="str">
        <f>IF(Menu!C6="","設定の学校番号を入力","学校番号: "&amp;Menu!C6)</f>
        <v>設定の学校番号を入力</v>
      </c>
      <c r="M5" s="121"/>
    </row>
    <row r="6" spans="1:35" ht="16.5" customHeight="1" x14ac:dyDescent="0.2">
      <c r="G6" s="133" t="s">
        <v>81</v>
      </c>
      <c r="H6" s="134"/>
      <c r="I6" s="104" t="str">
        <f>IF(Menu!C16="","設定メニューの所在地名を入力して下さい",Menu!C14&amp;"  "&amp;Menu!C16)</f>
        <v>設定メニューの所在地名を入力して下さい</v>
      </c>
      <c r="J6" s="104"/>
      <c r="K6" s="104"/>
      <c r="L6" s="104"/>
      <c r="M6" s="105"/>
    </row>
    <row r="7" spans="1:35" ht="16.5" customHeight="1" x14ac:dyDescent="0.2">
      <c r="G7" s="135" t="s">
        <v>82</v>
      </c>
      <c r="H7" s="136"/>
      <c r="I7" s="104" t="str">
        <f>IF(Menu!C18="","設定メニューから電話・Ｆａｘ番号を入力して下さい","TEL : "&amp;Menu!C18&amp;"/ FAX : "&amp;Menu!C20)</f>
        <v>設定メニューから電話・Ｆａｘ番号を入力して下さい</v>
      </c>
      <c r="J7" s="104"/>
      <c r="K7" s="104"/>
      <c r="L7" s="104"/>
      <c r="M7" s="105"/>
      <c r="W7" s="6" t="s">
        <v>19</v>
      </c>
    </row>
    <row r="8" spans="1:35" ht="16.5" customHeight="1" thickBot="1" x14ac:dyDescent="0.25">
      <c r="G8" s="137" t="s">
        <v>83</v>
      </c>
      <c r="H8" s="138"/>
      <c r="I8" s="111" t="str">
        <f>IF(Menu!C22="","設定メニューの引率者名を入力して下さい",Menu!C22)</f>
        <v>設定メニューの引率者名を入力して下さい</v>
      </c>
      <c r="J8" s="111"/>
      <c r="K8" s="111"/>
      <c r="L8" s="111"/>
      <c r="M8" s="112"/>
    </row>
    <row r="9" spans="1:35" ht="13.5" thickBot="1" x14ac:dyDescent="0.25">
      <c r="W9" s="6" t="s">
        <v>20</v>
      </c>
    </row>
    <row r="10" spans="1:35" ht="12.75" customHeight="1" x14ac:dyDescent="0.2">
      <c r="F10" s="128" t="s">
        <v>21</v>
      </c>
      <c r="G10" s="140" t="s">
        <v>22</v>
      </c>
      <c r="H10" s="141"/>
      <c r="I10" s="113" t="s">
        <v>23</v>
      </c>
      <c r="J10" s="109" t="s">
        <v>24</v>
      </c>
      <c r="K10" s="109" t="s">
        <v>25</v>
      </c>
      <c r="L10" s="109" t="s">
        <v>26</v>
      </c>
      <c r="M10" s="109" t="s">
        <v>27</v>
      </c>
      <c r="N10" s="125" t="s">
        <v>28</v>
      </c>
      <c r="Y10" s="6" t="str">
        <f>IF(COUNTIF(K14:K28,"○")=8,"","○")</f>
        <v>○</v>
      </c>
      <c r="Z10" s="6">
        <f>IF(COUNTIF($M$14:$M$28,1)&gt;=1,"",1)</f>
        <v>1</v>
      </c>
      <c r="AA10" s="6">
        <f>IF(COUNTIF($L$14:$L$28,1)&gt;=2,"",1)</f>
        <v>1</v>
      </c>
    </row>
    <row r="11" spans="1:35" ht="12.75" customHeight="1" x14ac:dyDescent="0.2">
      <c r="F11" s="129"/>
      <c r="G11" s="142"/>
      <c r="H11" s="143"/>
      <c r="I11" s="114"/>
      <c r="J11" s="116"/>
      <c r="K11" s="110"/>
      <c r="L11" s="110"/>
      <c r="M11" s="110"/>
      <c r="N11" s="126"/>
      <c r="Z11" s="6">
        <f>IF(COUNTIF($M$14:$M$28,2)&gt;=1,"",2)</f>
        <v>2</v>
      </c>
      <c r="AA11" s="6">
        <f>IF(COUNTIF($L$14:$L$28,2)&gt;=2,"",2)</f>
        <v>2</v>
      </c>
    </row>
    <row r="12" spans="1:35" ht="12.75" customHeight="1" thickBot="1" x14ac:dyDescent="0.25">
      <c r="F12" s="130"/>
      <c r="G12" s="65" t="s">
        <v>52</v>
      </c>
      <c r="H12" s="68" t="s">
        <v>53</v>
      </c>
      <c r="I12" s="115"/>
      <c r="J12" s="117"/>
      <c r="K12" s="66" t="str">
        <f>VLOOKUP(E1,$G$45:$L$47,4,FALSE)</f>
        <v>（８名）</v>
      </c>
      <c r="L12" s="66" t="str">
        <f>VLOOKUP(E1,$G$45:$L$47,5,FALSE)</f>
        <v>（４組）</v>
      </c>
      <c r="M12" s="76" t="str">
        <f>VLOOKUP(E1,$G$45:$L$47,6,FALSE)</f>
        <v>（８名）</v>
      </c>
      <c r="N12" s="127"/>
      <c r="Z12" s="6">
        <f>IF(COUNTIF($M$14:$M$28,3)&gt;=1,"",3)</f>
        <v>3</v>
      </c>
      <c r="AA12" s="6">
        <f>IF(COUNTIF($L$14:$L$28,3)&gt;=2,"",3)</f>
        <v>3</v>
      </c>
    </row>
    <row r="13" spans="1:35" ht="30.75" customHeight="1" thickTop="1" thickBot="1" x14ac:dyDescent="0.25">
      <c r="F13" s="9" t="s">
        <v>29</v>
      </c>
      <c r="G13" s="63"/>
      <c r="H13" s="64"/>
      <c r="I13" s="10" t="s">
        <v>30</v>
      </c>
      <c r="J13" s="11"/>
      <c r="K13" s="11"/>
      <c r="L13" s="11"/>
      <c r="M13" s="11"/>
      <c r="N13" s="12"/>
      <c r="Q13" s="6" t="str">
        <f>SUBSTITUTE(SUBSTITUTE(G13,"　","")," ","")</f>
        <v/>
      </c>
      <c r="R13" s="6" t="str">
        <f>SUBSTITUTE(SUBSTITUTE(H13,"　","")," ","")</f>
        <v/>
      </c>
      <c r="S13" s="6" t="str">
        <f>IF(Q13="","",IF(LEN(Q13)=1,Q13&amp;"　　",IF(LEN(Q13)=2,LEFT(Q13,1)&amp;"　"&amp;RIGHT(Q13,1),Q13)))&amp;"　"&amp;IF(R13="","",IF(LEN(R13)=1,"　　"&amp;R13,IF(LEN(R13)=2,LEFT(R13,1)&amp;"　"&amp;RIGHT(R13,1),R13)))</f>
        <v>　</v>
      </c>
      <c r="V13" s="6">
        <f>COUNT(V14:V29)</f>
        <v>0</v>
      </c>
      <c r="Z13" s="6">
        <f>IF(COUNTIF($M$14:$M$28,4)&gt;=1,"",4)</f>
        <v>4</v>
      </c>
      <c r="AA13" s="6">
        <f>IF(COUNTIF($L$14:$L$28,4)&gt;=2,"",4)</f>
        <v>4</v>
      </c>
      <c r="AG13" s="118" t="str">
        <f>MID(E1,3,30)</f>
        <v>総体卓球競技参加申込書</v>
      </c>
      <c r="AH13" s="118"/>
    </row>
    <row r="14" spans="1:35" ht="26.25" customHeight="1" thickTop="1" x14ac:dyDescent="0.2">
      <c r="A14" s="6" t="str">
        <f>IF(V14="","",RANK(V14,$V$14:$V$29,1))</f>
        <v/>
      </c>
      <c r="B14" s="6" t="str">
        <f>IF(W14="","",RANK(W14,$W$14:$W$29,1))</f>
        <v/>
      </c>
      <c r="C14" s="6" t="str">
        <f>IF(M14="","",M14)</f>
        <v/>
      </c>
      <c r="F14" s="13">
        <v>1</v>
      </c>
      <c r="G14" s="41"/>
      <c r="H14" s="42"/>
      <c r="I14" s="14"/>
      <c r="J14" s="15"/>
      <c r="K14" s="15"/>
      <c r="L14" s="15"/>
      <c r="M14" s="15"/>
      <c r="N14" s="16"/>
      <c r="Q14" s="6" t="str">
        <f>SUBSTITUTE(SUBSTITUTE(G14,"　","")," ","")</f>
        <v/>
      </c>
      <c r="R14" s="6" t="str">
        <f>SUBSTITUTE(SUBSTITUTE(H14,"　","")," ","")</f>
        <v/>
      </c>
      <c r="S14" s="6" t="str">
        <f>IF(Q14="","",IF(LEN(Q14)=1,Q14&amp;"　　",IF(LEN(Q14)=2,LEFT(Q14,1)&amp;"　"&amp;RIGHT(Q14,1),Q14)))&amp;"　"&amp;IF(R14="","",IF(LEN(R14)=1,"　　"&amp;R14,IF(LEN(R14)=2,LEFT(R14,1)&amp;"　"&amp;RIGHT(R14,1),R14)))</f>
        <v>　</v>
      </c>
      <c r="T14" s="6">
        <v>1</v>
      </c>
      <c r="U14" s="6">
        <f>IF(COUNT(L14:M14)+COUNTIF(K14,"○")&gt;0,1,0)</f>
        <v>0</v>
      </c>
      <c r="V14" s="6" t="str">
        <f t="shared" ref="V14:V29" si="0">IF(K14="○",F14,"")</f>
        <v/>
      </c>
      <c r="W14" s="6" t="str">
        <f>IF(L14="","",L14+F14/100)</f>
        <v/>
      </c>
      <c r="Z14" s="6">
        <f>IF(COUNTIF($M$14:$M$28,5)&gt;=1,"",5)</f>
        <v>5</v>
      </c>
      <c r="AA14" s="6" t="str">
        <f>IF($E$1="６　一年生卓球競技参加申込書",IF(COUNTIF($L$14:$L$29,5)&gt;=2,"",5),"")</f>
        <v/>
      </c>
      <c r="AB14" s="6" t="s">
        <v>31</v>
      </c>
      <c r="AG14" s="17" t="s">
        <v>32</v>
      </c>
      <c r="AH14" s="119" t="str">
        <f>IF(V13&gt;0,"参加します( "&amp;V13&amp;" 名)","参加しません")</f>
        <v>参加しません</v>
      </c>
      <c r="AI14" s="119"/>
    </row>
    <row r="15" spans="1:35" ht="26.25" customHeight="1" x14ac:dyDescent="0.2">
      <c r="A15" s="6" t="str">
        <f t="shared" ref="A15:A29" si="1">IF(V15="","",RANK(V15,$V$14:$V$29,1))</f>
        <v/>
      </c>
      <c r="B15" s="6" t="str">
        <f t="shared" ref="B15:B29" si="2">IF(W15="","",RANK(W15,$W$14:$W$29,1))</f>
        <v/>
      </c>
      <c r="C15" s="6" t="str">
        <f t="shared" ref="C15:C29" si="3">IF(M15="","",M15)</f>
        <v/>
      </c>
      <c r="F15" s="18">
        <v>2</v>
      </c>
      <c r="G15" s="43"/>
      <c r="H15" s="44"/>
      <c r="I15" s="19"/>
      <c r="J15" s="20"/>
      <c r="K15" s="20"/>
      <c r="L15" s="20"/>
      <c r="M15" s="20"/>
      <c r="N15" s="21"/>
      <c r="Q15" s="6" t="str">
        <f t="shared" ref="Q15:R29" si="4">SUBSTITUTE(SUBSTITUTE(G15,"　","")," ","")</f>
        <v/>
      </c>
      <c r="R15" s="6" t="str">
        <f t="shared" si="4"/>
        <v/>
      </c>
      <c r="S15" s="6" t="str">
        <f t="shared" ref="S15:S29" si="5">IF(Q15="","",IF(LEN(Q15)=1,Q15&amp;"　　",IF(LEN(Q15)=2,LEFT(Q15,1)&amp;"　"&amp;RIGHT(Q15,1),Q15)))&amp;"　"&amp;IF(R15="","",IF(LEN(R15)=1,"　　"&amp;R15,IF(LEN(R15)=2,LEFT(R15,1)&amp;"　"&amp;RIGHT(R15,1),R15)))</f>
        <v>　</v>
      </c>
      <c r="T15" s="6">
        <v>2</v>
      </c>
      <c r="U15" s="6">
        <f t="shared" ref="U15:U29" si="6">IF(COUNT(L15:M15)+COUNTIF(K15,"○")&gt;0,1,0)</f>
        <v>0</v>
      </c>
      <c r="V15" s="6" t="str">
        <f t="shared" si="0"/>
        <v/>
      </c>
      <c r="W15" s="6" t="str">
        <f t="shared" ref="W15:W29" si="7">IF(L15="","",L15+F15/100)</f>
        <v/>
      </c>
      <c r="Z15" s="6">
        <f>IF(COUNTIF($M$14:$M$28,6)&gt;=1,"",6)</f>
        <v>6</v>
      </c>
      <c r="AA15" s="6" t="str">
        <f>IF($E$1="６　一年生卓球競技参加申込書",IF(COUNTIF($L$14:$L$29,6)&gt;=2,"",6),"")</f>
        <v/>
      </c>
      <c r="AB15" s="6" t="s">
        <v>33</v>
      </c>
      <c r="AG15" s="17" t="s">
        <v>26</v>
      </c>
      <c r="AH15" s="22" t="str">
        <f>IF(W32=W33,W33&amp;" 組","申し込みに不備が有ります")</f>
        <v>0 組</v>
      </c>
      <c r="AI15" s="22"/>
    </row>
    <row r="16" spans="1:35" ht="26.25" customHeight="1" x14ac:dyDescent="0.2">
      <c r="A16" s="6" t="str">
        <f t="shared" si="1"/>
        <v/>
      </c>
      <c r="B16" s="6" t="str">
        <f t="shared" si="2"/>
        <v/>
      </c>
      <c r="C16" s="6" t="str">
        <f t="shared" si="3"/>
        <v/>
      </c>
      <c r="F16" s="18">
        <v>3</v>
      </c>
      <c r="G16" s="43"/>
      <c r="H16" s="44"/>
      <c r="I16" s="19"/>
      <c r="J16" s="20"/>
      <c r="K16" s="20"/>
      <c r="L16" s="20"/>
      <c r="M16" s="20"/>
      <c r="N16" s="21"/>
      <c r="Q16" s="6" t="str">
        <f t="shared" si="4"/>
        <v/>
      </c>
      <c r="R16" s="6" t="str">
        <f t="shared" si="4"/>
        <v/>
      </c>
      <c r="S16" s="6" t="str">
        <f t="shared" si="5"/>
        <v>　</v>
      </c>
      <c r="T16" s="6">
        <v>3</v>
      </c>
      <c r="U16" s="6">
        <f t="shared" si="6"/>
        <v>0</v>
      </c>
      <c r="V16" s="6" t="str">
        <f t="shared" si="0"/>
        <v/>
      </c>
      <c r="W16" s="6" t="str">
        <f t="shared" si="7"/>
        <v/>
      </c>
      <c r="Z16" s="6">
        <f>IF(COUNTIF($M$14:$M$28,7)&gt;=1,"",7)</f>
        <v>7</v>
      </c>
      <c r="AA16" s="6" t="str">
        <f>IF($E$1="６　一年生卓球競技参加申込書",IF(COUNTIF($L$14:$L$29,7)&gt;=2,"",7),"")</f>
        <v/>
      </c>
      <c r="AG16" s="17" t="s">
        <v>34</v>
      </c>
      <c r="AH16" s="22" t="str">
        <f>IF(COUNT(M14:M28)=MAX(M14:M28),MAX(M14:M28)&amp;" 人","申し込みに不備が有ります")</f>
        <v>0 人</v>
      </c>
      <c r="AI16" s="22"/>
    </row>
    <row r="17" spans="1:27" ht="26.25" customHeight="1" x14ac:dyDescent="0.2">
      <c r="A17" s="6" t="str">
        <f t="shared" si="1"/>
        <v/>
      </c>
      <c r="B17" s="6" t="str">
        <f t="shared" si="2"/>
        <v/>
      </c>
      <c r="C17" s="6" t="str">
        <f t="shared" si="3"/>
        <v/>
      </c>
      <c r="F17" s="18">
        <v>4</v>
      </c>
      <c r="G17" s="43"/>
      <c r="H17" s="44"/>
      <c r="I17" s="19"/>
      <c r="J17" s="20"/>
      <c r="K17" s="20"/>
      <c r="L17" s="20"/>
      <c r="M17" s="20"/>
      <c r="N17" s="21"/>
      <c r="Q17" s="6" t="str">
        <f t="shared" si="4"/>
        <v/>
      </c>
      <c r="R17" s="6" t="str">
        <f t="shared" si="4"/>
        <v/>
      </c>
      <c r="S17" s="6" t="str">
        <f t="shared" si="5"/>
        <v>　</v>
      </c>
      <c r="U17" s="6">
        <f t="shared" si="6"/>
        <v>0</v>
      </c>
      <c r="V17" s="6" t="str">
        <f t="shared" si="0"/>
        <v/>
      </c>
      <c r="W17" s="6" t="str">
        <f t="shared" si="7"/>
        <v/>
      </c>
      <c r="Z17" s="6">
        <f>IF(COUNTIF($M$14:$M$28,8)&gt;=1,"",8)</f>
        <v>8</v>
      </c>
      <c r="AA17" s="6" t="str">
        <f>IF($E$1="６　一年生卓球競技参加申込書",IF(COUNTIF($L$14:$L$29,8)&gt;=2,"",8),"")</f>
        <v/>
      </c>
    </row>
    <row r="18" spans="1:27" ht="26.25" customHeight="1" x14ac:dyDescent="0.2">
      <c r="A18" s="6" t="str">
        <f t="shared" si="1"/>
        <v/>
      </c>
      <c r="B18" s="6" t="str">
        <f t="shared" si="2"/>
        <v/>
      </c>
      <c r="C18" s="6" t="str">
        <f t="shared" si="3"/>
        <v/>
      </c>
      <c r="F18" s="18">
        <v>5</v>
      </c>
      <c r="G18" s="43"/>
      <c r="H18" s="44"/>
      <c r="I18" s="19"/>
      <c r="J18" s="20"/>
      <c r="K18" s="20"/>
      <c r="L18" s="20"/>
      <c r="M18" s="20"/>
      <c r="N18" s="21"/>
      <c r="Q18" s="6" t="str">
        <f t="shared" si="4"/>
        <v/>
      </c>
      <c r="R18" s="6" t="str">
        <f t="shared" si="4"/>
        <v/>
      </c>
      <c r="S18" s="6" t="str">
        <f t="shared" si="5"/>
        <v>　</v>
      </c>
      <c r="U18" s="6">
        <f t="shared" si="6"/>
        <v>0</v>
      </c>
      <c r="V18" s="6" t="str">
        <f t="shared" si="0"/>
        <v/>
      </c>
      <c r="W18" s="6" t="str">
        <f t="shared" si="7"/>
        <v/>
      </c>
      <c r="Z18" s="6" t="str">
        <f>IF($E$1="６　一年生卓球競技参加申込書",IF(COUNTIF($M$14:$M$29,9)&gt;=1,"",9),"")</f>
        <v/>
      </c>
    </row>
    <row r="19" spans="1:27" ht="26.25" customHeight="1" x14ac:dyDescent="0.2">
      <c r="A19" s="6" t="str">
        <f t="shared" si="1"/>
        <v/>
      </c>
      <c r="B19" s="6" t="str">
        <f t="shared" si="2"/>
        <v/>
      </c>
      <c r="C19" s="6" t="str">
        <f t="shared" si="3"/>
        <v/>
      </c>
      <c r="F19" s="18">
        <v>6</v>
      </c>
      <c r="G19" s="43"/>
      <c r="H19" s="44"/>
      <c r="I19" s="19"/>
      <c r="J19" s="20"/>
      <c r="K19" s="20"/>
      <c r="L19" s="20"/>
      <c r="M19" s="20"/>
      <c r="N19" s="21"/>
      <c r="Q19" s="6" t="str">
        <f t="shared" si="4"/>
        <v/>
      </c>
      <c r="R19" s="6" t="str">
        <f t="shared" si="4"/>
        <v/>
      </c>
      <c r="S19" s="6" t="str">
        <f t="shared" si="5"/>
        <v>　</v>
      </c>
      <c r="U19" s="6">
        <f t="shared" si="6"/>
        <v>0</v>
      </c>
      <c r="V19" s="6" t="str">
        <f t="shared" si="0"/>
        <v/>
      </c>
      <c r="W19" s="6" t="str">
        <f t="shared" si="7"/>
        <v/>
      </c>
      <c r="Z19" s="6" t="str">
        <f>IF($E$1="６　一年生卓球競技参加申込書",IF(COUNTIF($M$14:$M$29,10)&gt;=1,"",10),"")</f>
        <v/>
      </c>
    </row>
    <row r="20" spans="1:27" ht="26.25" customHeight="1" x14ac:dyDescent="0.2">
      <c r="A20" s="6" t="str">
        <f t="shared" si="1"/>
        <v/>
      </c>
      <c r="B20" s="6" t="str">
        <f t="shared" si="2"/>
        <v/>
      </c>
      <c r="C20" s="6" t="str">
        <f t="shared" si="3"/>
        <v/>
      </c>
      <c r="F20" s="18">
        <v>7</v>
      </c>
      <c r="G20" s="43"/>
      <c r="H20" s="44"/>
      <c r="I20" s="19"/>
      <c r="J20" s="20"/>
      <c r="K20" s="20"/>
      <c r="L20" s="20"/>
      <c r="M20" s="20"/>
      <c r="N20" s="21"/>
      <c r="Q20" s="6" t="str">
        <f t="shared" si="4"/>
        <v/>
      </c>
      <c r="R20" s="6" t="str">
        <f t="shared" si="4"/>
        <v/>
      </c>
      <c r="S20" s="6" t="str">
        <f t="shared" si="5"/>
        <v>　</v>
      </c>
      <c r="U20" s="6">
        <f t="shared" si="6"/>
        <v>0</v>
      </c>
      <c r="V20" s="6" t="str">
        <f t="shared" si="0"/>
        <v/>
      </c>
      <c r="W20" s="6" t="str">
        <f t="shared" si="7"/>
        <v/>
      </c>
      <c r="Z20" s="6" t="str">
        <f>IF($E$1="６　一年生卓球競技参加申込書",IF(COUNTIF($M$14:$M$29,11)&gt;=1,"",11),"")</f>
        <v/>
      </c>
    </row>
    <row r="21" spans="1:27" ht="26.25" customHeight="1" x14ac:dyDescent="0.2">
      <c r="A21" s="6" t="str">
        <f t="shared" si="1"/>
        <v/>
      </c>
      <c r="B21" s="6" t="str">
        <f t="shared" si="2"/>
        <v/>
      </c>
      <c r="C21" s="6" t="str">
        <f t="shared" si="3"/>
        <v/>
      </c>
      <c r="F21" s="18">
        <v>8</v>
      </c>
      <c r="G21" s="43"/>
      <c r="H21" s="44"/>
      <c r="I21" s="19"/>
      <c r="J21" s="20"/>
      <c r="K21" s="20"/>
      <c r="L21" s="20"/>
      <c r="M21" s="20"/>
      <c r="N21" s="21"/>
      <c r="Q21" s="6" t="str">
        <f t="shared" si="4"/>
        <v/>
      </c>
      <c r="R21" s="6" t="str">
        <f t="shared" si="4"/>
        <v/>
      </c>
      <c r="S21" s="6" t="str">
        <f t="shared" si="5"/>
        <v>　</v>
      </c>
      <c r="U21" s="6">
        <f t="shared" si="6"/>
        <v>0</v>
      </c>
      <c r="V21" s="6" t="str">
        <f t="shared" si="0"/>
        <v/>
      </c>
      <c r="W21" s="6" t="str">
        <f t="shared" si="7"/>
        <v/>
      </c>
      <c r="Z21" s="6" t="str">
        <f>IF($E$1="６　一年生卓球競技参加申込書",IF(COUNTIF($M$14:$M$29,12)&gt;=1,"",12),"")</f>
        <v/>
      </c>
    </row>
    <row r="22" spans="1:27" ht="26.25" customHeight="1" x14ac:dyDescent="0.2">
      <c r="A22" s="6" t="str">
        <f t="shared" si="1"/>
        <v/>
      </c>
      <c r="B22" s="6" t="str">
        <f t="shared" si="2"/>
        <v/>
      </c>
      <c r="C22" s="6" t="str">
        <f t="shared" si="3"/>
        <v/>
      </c>
      <c r="F22" s="18">
        <v>9</v>
      </c>
      <c r="G22" s="43"/>
      <c r="H22" s="44"/>
      <c r="I22" s="19"/>
      <c r="J22" s="20"/>
      <c r="K22" s="20"/>
      <c r="L22" s="20"/>
      <c r="M22" s="20"/>
      <c r="N22" s="21"/>
      <c r="Q22" s="6" t="str">
        <f t="shared" si="4"/>
        <v/>
      </c>
      <c r="R22" s="6" t="str">
        <f t="shared" si="4"/>
        <v/>
      </c>
      <c r="S22" s="6" t="str">
        <f t="shared" si="5"/>
        <v>　</v>
      </c>
      <c r="U22" s="6">
        <f t="shared" si="6"/>
        <v>0</v>
      </c>
      <c r="V22" s="6" t="str">
        <f t="shared" si="0"/>
        <v/>
      </c>
      <c r="W22" s="6" t="str">
        <f t="shared" si="7"/>
        <v/>
      </c>
      <c r="Z22" s="6" t="str">
        <f>IF($E$1="６　一年生卓球競技参加申込書",IF(COUNTIF($M$14:$M$29,13)&gt;=1,"",13),"")</f>
        <v/>
      </c>
    </row>
    <row r="23" spans="1:27" ht="26.25" customHeight="1" x14ac:dyDescent="0.2">
      <c r="A23" s="6" t="str">
        <f t="shared" si="1"/>
        <v/>
      </c>
      <c r="B23" s="6" t="str">
        <f t="shared" si="2"/>
        <v/>
      </c>
      <c r="C23" s="6" t="str">
        <f t="shared" si="3"/>
        <v/>
      </c>
      <c r="F23" s="18">
        <v>10</v>
      </c>
      <c r="G23" s="43"/>
      <c r="H23" s="44"/>
      <c r="I23" s="19"/>
      <c r="J23" s="20"/>
      <c r="K23" s="20"/>
      <c r="L23" s="20"/>
      <c r="M23" s="20"/>
      <c r="N23" s="21"/>
      <c r="Q23" s="6" t="str">
        <f t="shared" si="4"/>
        <v/>
      </c>
      <c r="R23" s="6" t="str">
        <f t="shared" si="4"/>
        <v/>
      </c>
      <c r="S23" s="6" t="str">
        <f t="shared" si="5"/>
        <v>　</v>
      </c>
      <c r="U23" s="6">
        <f t="shared" si="6"/>
        <v>0</v>
      </c>
      <c r="V23" s="6" t="str">
        <f t="shared" si="0"/>
        <v/>
      </c>
      <c r="W23" s="6" t="str">
        <f t="shared" si="7"/>
        <v/>
      </c>
      <c r="Z23" s="6" t="str">
        <f>IF($E$1="６　一年生卓球競技参加申込書",IF(COUNTIF($M$14:$M$29,14)&gt;=1,"",14),"")</f>
        <v/>
      </c>
    </row>
    <row r="24" spans="1:27" ht="26.25" customHeight="1" x14ac:dyDescent="0.2">
      <c r="A24" s="6" t="str">
        <f t="shared" si="1"/>
        <v/>
      </c>
      <c r="B24" s="6" t="str">
        <f t="shared" si="2"/>
        <v/>
      </c>
      <c r="C24" s="6" t="str">
        <f t="shared" si="3"/>
        <v/>
      </c>
      <c r="F24" s="18">
        <v>11</v>
      </c>
      <c r="G24" s="43"/>
      <c r="H24" s="44"/>
      <c r="I24" s="19"/>
      <c r="J24" s="20"/>
      <c r="K24" s="20"/>
      <c r="L24" s="20"/>
      <c r="M24" s="20"/>
      <c r="N24" s="21"/>
      <c r="Q24" s="6" t="str">
        <f t="shared" si="4"/>
        <v/>
      </c>
      <c r="R24" s="6" t="str">
        <f t="shared" si="4"/>
        <v/>
      </c>
      <c r="S24" s="6" t="str">
        <f t="shared" si="5"/>
        <v>　</v>
      </c>
      <c r="U24" s="6">
        <f t="shared" si="6"/>
        <v>0</v>
      </c>
      <c r="V24" s="6" t="str">
        <f t="shared" si="0"/>
        <v/>
      </c>
      <c r="W24" s="6" t="str">
        <f t="shared" si="7"/>
        <v/>
      </c>
      <c r="Z24" s="6" t="str">
        <f>IF($E$1="６　一年生卓球競技参加申込書",IF(COUNTIF($M$14:$M$29,15)&gt;=1,"",15),"")</f>
        <v/>
      </c>
    </row>
    <row r="25" spans="1:27" ht="26.25" customHeight="1" x14ac:dyDescent="0.2">
      <c r="A25" s="6" t="str">
        <f t="shared" si="1"/>
        <v/>
      </c>
      <c r="B25" s="6" t="str">
        <f t="shared" si="2"/>
        <v/>
      </c>
      <c r="C25" s="6" t="str">
        <f t="shared" si="3"/>
        <v/>
      </c>
      <c r="F25" s="18">
        <v>12</v>
      </c>
      <c r="G25" s="43"/>
      <c r="H25" s="44"/>
      <c r="I25" s="19"/>
      <c r="J25" s="20"/>
      <c r="K25" s="20"/>
      <c r="L25" s="20"/>
      <c r="M25" s="20"/>
      <c r="N25" s="21"/>
      <c r="Q25" s="6" t="str">
        <f t="shared" si="4"/>
        <v/>
      </c>
      <c r="R25" s="6" t="str">
        <f t="shared" si="4"/>
        <v/>
      </c>
      <c r="S25" s="6" t="str">
        <f t="shared" si="5"/>
        <v>　</v>
      </c>
      <c r="U25" s="6">
        <f t="shared" si="6"/>
        <v>0</v>
      </c>
      <c r="V25" s="6" t="str">
        <f t="shared" si="0"/>
        <v/>
      </c>
      <c r="W25" s="6" t="str">
        <f t="shared" si="7"/>
        <v/>
      </c>
      <c r="Z25" s="6" t="str">
        <f>IF($E$1="６　一年生卓球競技参加申込書",IF(COUNTIF($M$14:$M$29,16)&gt;=1,"",16),"")</f>
        <v/>
      </c>
    </row>
    <row r="26" spans="1:27" ht="26.25" customHeight="1" x14ac:dyDescent="0.2">
      <c r="A26" s="6" t="str">
        <f t="shared" si="1"/>
        <v/>
      </c>
      <c r="B26" s="6" t="str">
        <f t="shared" si="2"/>
        <v/>
      </c>
      <c r="C26" s="6" t="str">
        <f t="shared" si="3"/>
        <v/>
      </c>
      <c r="F26" s="18">
        <v>13</v>
      </c>
      <c r="G26" s="43"/>
      <c r="H26" s="44"/>
      <c r="I26" s="19"/>
      <c r="J26" s="20"/>
      <c r="K26" s="20"/>
      <c r="L26" s="20"/>
      <c r="M26" s="20"/>
      <c r="N26" s="21"/>
      <c r="Q26" s="6" t="str">
        <f t="shared" si="4"/>
        <v/>
      </c>
      <c r="R26" s="6" t="str">
        <f t="shared" si="4"/>
        <v/>
      </c>
      <c r="S26" s="6" t="str">
        <f t="shared" si="5"/>
        <v>　</v>
      </c>
      <c r="U26" s="6">
        <f t="shared" si="6"/>
        <v>0</v>
      </c>
      <c r="V26" s="6" t="str">
        <f t="shared" si="0"/>
        <v/>
      </c>
      <c r="W26" s="6" t="str">
        <f t="shared" si="7"/>
        <v/>
      </c>
    </row>
    <row r="27" spans="1:27" ht="26.25" customHeight="1" x14ac:dyDescent="0.2">
      <c r="A27" s="6" t="str">
        <f t="shared" si="1"/>
        <v/>
      </c>
      <c r="B27" s="6" t="str">
        <f t="shared" si="2"/>
        <v/>
      </c>
      <c r="C27" s="6" t="str">
        <f t="shared" si="3"/>
        <v/>
      </c>
      <c r="F27" s="18">
        <v>14</v>
      </c>
      <c r="G27" s="43"/>
      <c r="H27" s="44"/>
      <c r="I27" s="19"/>
      <c r="J27" s="20"/>
      <c r="K27" s="20"/>
      <c r="L27" s="20"/>
      <c r="M27" s="20"/>
      <c r="N27" s="21"/>
      <c r="Q27" s="6" t="str">
        <f t="shared" si="4"/>
        <v/>
      </c>
      <c r="R27" s="6" t="str">
        <f t="shared" si="4"/>
        <v/>
      </c>
      <c r="S27" s="6" t="str">
        <f t="shared" si="5"/>
        <v>　</v>
      </c>
      <c r="U27" s="6">
        <f t="shared" si="6"/>
        <v>0</v>
      </c>
      <c r="V27" s="6" t="str">
        <f t="shared" si="0"/>
        <v/>
      </c>
      <c r="W27" s="6" t="str">
        <f t="shared" si="7"/>
        <v/>
      </c>
    </row>
    <row r="28" spans="1:27" ht="26.25" customHeight="1" x14ac:dyDescent="0.2">
      <c r="A28" s="6" t="str">
        <f t="shared" si="1"/>
        <v/>
      </c>
      <c r="B28" s="6" t="str">
        <f t="shared" si="2"/>
        <v/>
      </c>
      <c r="C28" s="6" t="str">
        <f t="shared" si="3"/>
        <v/>
      </c>
      <c r="F28" s="18">
        <v>15</v>
      </c>
      <c r="G28" s="43"/>
      <c r="H28" s="44"/>
      <c r="I28" s="19"/>
      <c r="J28" s="20"/>
      <c r="K28" s="20"/>
      <c r="L28" s="23"/>
      <c r="M28" s="23"/>
      <c r="N28" s="24"/>
      <c r="Q28" s="6" t="str">
        <f t="shared" si="4"/>
        <v/>
      </c>
      <c r="R28" s="6" t="str">
        <f t="shared" si="4"/>
        <v/>
      </c>
      <c r="S28" s="6" t="str">
        <f t="shared" si="5"/>
        <v>　</v>
      </c>
      <c r="U28" s="6">
        <f t="shared" si="6"/>
        <v>0</v>
      </c>
      <c r="V28" s="6" t="str">
        <f t="shared" si="0"/>
        <v/>
      </c>
      <c r="W28" s="6" t="str">
        <f t="shared" si="7"/>
        <v/>
      </c>
    </row>
    <row r="29" spans="1:27" ht="26.25" customHeight="1" thickBot="1" x14ac:dyDescent="0.25">
      <c r="A29" s="6" t="str">
        <f t="shared" si="1"/>
        <v/>
      </c>
      <c r="B29" s="6" t="str">
        <f t="shared" si="2"/>
        <v/>
      </c>
      <c r="C29" s="6" t="str">
        <f t="shared" si="3"/>
        <v/>
      </c>
      <c r="F29" s="25">
        <v>16</v>
      </c>
      <c r="G29" s="45"/>
      <c r="H29" s="46"/>
      <c r="I29" s="26"/>
      <c r="J29" s="27"/>
      <c r="K29" s="27"/>
      <c r="L29" s="23"/>
      <c r="M29" s="23"/>
      <c r="N29" s="24"/>
      <c r="Q29" s="6" t="str">
        <f t="shared" si="4"/>
        <v/>
      </c>
      <c r="R29" s="6" t="str">
        <f t="shared" si="4"/>
        <v/>
      </c>
      <c r="S29" s="6" t="str">
        <f t="shared" si="5"/>
        <v>　</v>
      </c>
      <c r="U29" s="6">
        <f t="shared" si="6"/>
        <v>0</v>
      </c>
      <c r="V29" s="6" t="str">
        <f t="shared" si="0"/>
        <v/>
      </c>
      <c r="W29" s="6" t="str">
        <f t="shared" si="7"/>
        <v/>
      </c>
    </row>
    <row r="30" spans="1:27" ht="28.5" customHeight="1" thickBot="1" x14ac:dyDescent="0.25">
      <c r="B30" s="61">
        <f>MAX(B14:B29)/2</f>
        <v>0</v>
      </c>
      <c r="C30" s="62">
        <f>MAX(C14:C29)</f>
        <v>0</v>
      </c>
      <c r="F30" s="28"/>
      <c r="G30" s="28"/>
      <c r="H30" s="28"/>
      <c r="I30" s="28"/>
      <c r="J30" s="28"/>
      <c r="K30" s="29"/>
      <c r="L30" s="30" t="s">
        <v>35</v>
      </c>
      <c r="M30" s="122">
        <f>SUM(U14:U29)</f>
        <v>0</v>
      </c>
      <c r="N30" s="122"/>
    </row>
    <row r="31" spans="1:27" x14ac:dyDescent="0.2">
      <c r="F31" s="83"/>
      <c r="G31" s="28" t="str">
        <f>"申込締切日　：　"&amp;VLOOKUP(Menu!F1,F45:N47,9,FALSE)</f>
        <v>申込締切日　：　令和6年4月26日（金）</v>
      </c>
      <c r="H31" s="28"/>
      <c r="I31" s="28"/>
      <c r="J31" s="28"/>
      <c r="K31" s="29"/>
      <c r="L31" s="29"/>
      <c r="M31" s="29"/>
      <c r="N31" s="29"/>
      <c r="W31" s="6" t="s">
        <v>36</v>
      </c>
    </row>
    <row r="32" spans="1:27" x14ac:dyDescent="0.2">
      <c r="F32" s="83" t="s">
        <v>37</v>
      </c>
      <c r="G32" s="28" t="s">
        <v>38</v>
      </c>
      <c r="H32" s="28"/>
      <c r="I32" s="28"/>
      <c r="J32" s="28"/>
      <c r="K32" s="29"/>
      <c r="L32" s="29"/>
      <c r="M32" s="29"/>
      <c r="N32" s="29"/>
      <c r="W32" s="6">
        <f>MAX(L14:L29)</f>
        <v>0</v>
      </c>
    </row>
    <row r="33" spans="6:37" x14ac:dyDescent="0.2">
      <c r="F33" s="83" t="s">
        <v>37</v>
      </c>
      <c r="G33" s="28" t="str">
        <f>"ダブルス"&amp;VLOOKUP(E1,G45:N47,5,FALSE)&amp;"、シングルス"&amp;VLOOKUP(E1,G45:N47,6,FALSE)&amp;"は強い順にそれぞれの欄の番号を付けてください。"</f>
        <v>ダブルス（４組）、シングルス（８名）は強い順にそれぞれの欄の番号を付けてください。</v>
      </c>
      <c r="H33" s="28"/>
      <c r="I33" s="28"/>
      <c r="J33" s="28"/>
      <c r="K33" s="29"/>
      <c r="L33" s="29"/>
      <c r="M33" s="29"/>
      <c r="N33" s="29"/>
      <c r="W33" s="6">
        <f>ROUNDDOWN(COUNT(L14:L29)/2,0)</f>
        <v>0</v>
      </c>
    </row>
    <row r="34" spans="6:37" x14ac:dyDescent="0.2">
      <c r="F34" s="28"/>
      <c r="G34" s="28" t="s">
        <v>39</v>
      </c>
      <c r="H34" s="28"/>
      <c r="I34" s="28"/>
      <c r="J34" s="28"/>
      <c r="K34" s="29"/>
      <c r="L34" s="29"/>
      <c r="M34" s="29"/>
      <c r="N34" s="29"/>
    </row>
    <row r="35" spans="6:37" x14ac:dyDescent="0.2">
      <c r="F35" s="28" t="s">
        <v>40</v>
      </c>
      <c r="G35" s="28"/>
      <c r="H35" s="28"/>
      <c r="I35" s="28"/>
      <c r="J35" s="28"/>
      <c r="K35" s="29"/>
      <c r="L35" s="29"/>
      <c r="M35" s="29"/>
      <c r="N35" s="29"/>
    </row>
    <row r="36" spans="6:37" x14ac:dyDescent="0.2">
      <c r="F36" s="28" t="s">
        <v>41</v>
      </c>
      <c r="G36" s="28"/>
      <c r="H36" s="28"/>
      <c r="I36" s="28"/>
      <c r="J36" s="28"/>
      <c r="K36" s="29"/>
      <c r="L36" s="29"/>
      <c r="M36" s="29"/>
      <c r="N36" s="29"/>
    </row>
    <row r="37" spans="6:37" ht="8.25" customHeight="1" x14ac:dyDescent="0.2">
      <c r="F37" s="28"/>
      <c r="G37" s="28"/>
      <c r="H37" s="28"/>
      <c r="I37" s="28"/>
      <c r="J37" s="28"/>
      <c r="K37" s="29"/>
      <c r="L37" s="29"/>
      <c r="M37" s="29"/>
      <c r="N37" s="29"/>
    </row>
    <row r="38" spans="6:37" ht="14" x14ac:dyDescent="0.2">
      <c r="F38" s="28"/>
      <c r="G38" s="107" t="s">
        <v>194</v>
      </c>
      <c r="H38" s="107"/>
      <c r="I38" s="107"/>
      <c r="J38" s="107"/>
      <c r="K38" s="29"/>
      <c r="L38" s="29"/>
      <c r="M38" s="29"/>
      <c r="N38" s="29"/>
      <c r="O38" s="31"/>
      <c r="P38" s="31"/>
      <c r="Q38" s="31"/>
      <c r="R38" s="31"/>
      <c r="S38" s="31"/>
      <c r="T38" s="31"/>
      <c r="U38" s="31"/>
    </row>
    <row r="39" spans="6:37" x14ac:dyDescent="0.2">
      <c r="F39" s="28"/>
      <c r="G39" s="28"/>
      <c r="H39" s="28"/>
      <c r="I39" s="28"/>
      <c r="J39" s="28"/>
      <c r="K39" s="29"/>
      <c r="L39" s="29"/>
      <c r="M39" s="29"/>
      <c r="N39" s="29"/>
    </row>
    <row r="40" spans="6:37" ht="14" x14ac:dyDescent="0.2">
      <c r="F40" s="28"/>
      <c r="G40" s="28"/>
      <c r="H40" s="108" t="str">
        <f>IF(Menu!C8="","高等学校",Menu!G8)</f>
        <v>↑学校番号を入力して下さい。</v>
      </c>
      <c r="I40" s="108"/>
      <c r="J40" s="108"/>
      <c r="K40" s="84" t="s">
        <v>86</v>
      </c>
      <c r="L40" s="106" t="str">
        <f>IF(Menu!C12="","校長名を入力する",Menu!C12)</f>
        <v>校長名を入力する</v>
      </c>
      <c r="M40" s="106"/>
      <c r="N40" s="85" t="s">
        <v>84</v>
      </c>
    </row>
    <row r="41" spans="6:37" x14ac:dyDescent="0.2">
      <c r="F41" s="28"/>
      <c r="G41" s="28"/>
      <c r="H41" s="28"/>
      <c r="I41" s="28"/>
      <c r="J41" s="28"/>
      <c r="K41" s="29"/>
      <c r="L41" s="29"/>
      <c r="M41" s="29"/>
      <c r="N41" s="29"/>
    </row>
    <row r="43" spans="6:37" s="32" customFormat="1" x14ac:dyDescent="0.2">
      <c r="K43" s="33"/>
      <c r="L43" s="33"/>
      <c r="M43" s="33"/>
      <c r="N43" s="33"/>
    </row>
    <row r="44" spans="6:37" s="32" customFormat="1" ht="12.75" customHeight="1" x14ac:dyDescent="0.2">
      <c r="K44" s="33"/>
      <c r="L44" s="33"/>
      <c r="M44" s="33"/>
      <c r="N44" s="33"/>
    </row>
    <row r="45" spans="6:37" s="32" customFormat="1" hidden="1" x14ac:dyDescent="0.2">
      <c r="F45" s="32">
        <v>1</v>
      </c>
      <c r="G45" s="32" t="s">
        <v>18</v>
      </c>
      <c r="I45" s="32" t="s">
        <v>55</v>
      </c>
      <c r="J45" s="32" t="s">
        <v>42</v>
      </c>
      <c r="K45" s="32" t="s">
        <v>43</v>
      </c>
      <c r="L45" s="32" t="s">
        <v>42</v>
      </c>
      <c r="N45" s="34" t="str">
        <f>Menu!C25</f>
        <v>令和6年4月26日（金）</v>
      </c>
    </row>
    <row r="46" spans="6:37" s="32" customFormat="1" hidden="1" x14ac:dyDescent="0.2">
      <c r="F46" s="32">
        <v>2</v>
      </c>
      <c r="G46" s="32" t="s">
        <v>44</v>
      </c>
      <c r="I46" s="32" t="s">
        <v>56</v>
      </c>
      <c r="J46" s="32" t="s">
        <v>42</v>
      </c>
      <c r="K46" s="32" t="s">
        <v>45</v>
      </c>
      <c r="L46" s="32" t="s">
        <v>45</v>
      </c>
      <c r="N46" s="34" t="str">
        <f>Menu!C26</f>
        <v>令和6年7月18日（木）</v>
      </c>
    </row>
    <row r="47" spans="6:37" s="32" customFormat="1" hidden="1" x14ac:dyDescent="0.2">
      <c r="F47" s="32">
        <v>3</v>
      </c>
      <c r="G47" s="32" t="s">
        <v>46</v>
      </c>
      <c r="I47" s="32" t="s">
        <v>57</v>
      </c>
      <c r="J47" s="32" t="s">
        <v>42</v>
      </c>
      <c r="K47" s="32" t="s">
        <v>43</v>
      </c>
      <c r="L47" s="32" t="s">
        <v>42</v>
      </c>
      <c r="N47" s="34" t="str">
        <f>Menu!C27</f>
        <v>令和6年9月17日（火）</v>
      </c>
    </row>
    <row r="48" spans="6:37" s="32" customFormat="1" ht="12.75" customHeight="1" x14ac:dyDescent="0.2">
      <c r="K48" s="33"/>
      <c r="L48" s="33"/>
      <c r="M48" s="33"/>
      <c r="N48" s="33"/>
      <c r="AK48" s="35"/>
    </row>
    <row r="49" spans="6:37" s="32" customFormat="1" x14ac:dyDescent="0.2">
      <c r="K49" s="33"/>
      <c r="L49" s="33"/>
      <c r="M49" s="33"/>
      <c r="N49" s="33"/>
      <c r="AJ49" s="35"/>
      <c r="AK49" s="36"/>
    </row>
    <row r="50" spans="6:37" s="32" customFormat="1" x14ac:dyDescent="0.2">
      <c r="K50" s="33"/>
      <c r="M50" s="33"/>
      <c r="N50" s="33"/>
      <c r="AJ50" s="33"/>
      <c r="AK50" s="36"/>
    </row>
    <row r="51" spans="6:37" x14ac:dyDescent="0.2">
      <c r="L51" s="6"/>
      <c r="AK51" s="37"/>
    </row>
    <row r="52" spans="6:37" x14ac:dyDescent="0.2">
      <c r="L52" s="6"/>
      <c r="AJ52" s="38"/>
    </row>
    <row r="53" spans="6:37" x14ac:dyDescent="0.2">
      <c r="F53" s="1" t="s">
        <v>47</v>
      </c>
    </row>
    <row r="93" spans="32:36" x14ac:dyDescent="0.2">
      <c r="AF93"/>
      <c r="AG93"/>
      <c r="AH93"/>
      <c r="AI93"/>
      <c r="AJ93"/>
    </row>
    <row r="94" spans="32:36" x14ac:dyDescent="0.2">
      <c r="AF94"/>
      <c r="AG94"/>
      <c r="AH94"/>
      <c r="AI94"/>
      <c r="AJ94"/>
    </row>
    <row r="95" spans="32:36" x14ac:dyDescent="0.2">
      <c r="AF95"/>
      <c r="AG95"/>
      <c r="AH95"/>
      <c r="AI95"/>
      <c r="AJ95"/>
    </row>
    <row r="96" spans="32:36" x14ac:dyDescent="0.2">
      <c r="AF96"/>
      <c r="AG96"/>
      <c r="AH96"/>
      <c r="AI96"/>
      <c r="AJ96"/>
    </row>
    <row r="97" spans="32:36" x14ac:dyDescent="0.2">
      <c r="AF97"/>
      <c r="AG97"/>
      <c r="AH97"/>
      <c r="AI97"/>
      <c r="AJ97"/>
    </row>
    <row r="98" spans="32:36" x14ac:dyDescent="0.2">
      <c r="AF98"/>
      <c r="AG98"/>
      <c r="AH98"/>
      <c r="AI98"/>
      <c r="AJ98"/>
    </row>
    <row r="99" spans="32:36" x14ac:dyDescent="0.2">
      <c r="AF99"/>
      <c r="AG99"/>
      <c r="AH99"/>
      <c r="AI99"/>
      <c r="AJ99"/>
    </row>
    <row r="100" spans="32:36" x14ac:dyDescent="0.2">
      <c r="AF100"/>
      <c r="AG100"/>
      <c r="AH100"/>
      <c r="AI100"/>
      <c r="AJ100"/>
    </row>
  </sheetData>
  <sheetProtection algorithmName="SHA-512" hashValue="lxH2+0K7r+yWIkSeQek3W9ijxrmO58rA1wyrxFg/nIyoUaiEZa7Er+nDlaTt6Ot5qsc69dsb++yu1ZpiHYfsDw==" saltValue="WYWJDnyxbRfn8TUl6ROprA==" spinCount="100000" sheet="1" objects="1" scenarios="1" selectLockedCells="1"/>
  <mergeCells count="25">
    <mergeCell ref="H40:J40"/>
    <mergeCell ref="I6:M6"/>
    <mergeCell ref="I7:M7"/>
    <mergeCell ref="I8:M8"/>
    <mergeCell ref="L5:M5"/>
    <mergeCell ref="G38:J38"/>
    <mergeCell ref="AG13:AH13"/>
    <mergeCell ref="AH14:AI14"/>
    <mergeCell ref="M30:N30"/>
    <mergeCell ref="L40:M40"/>
    <mergeCell ref="L10:L11"/>
    <mergeCell ref="M10:M11"/>
    <mergeCell ref="N10:N12"/>
    <mergeCell ref="E1:O1"/>
    <mergeCell ref="F3:G3"/>
    <mergeCell ref="G10:H11"/>
    <mergeCell ref="I10:I12"/>
    <mergeCell ref="J10:J12"/>
    <mergeCell ref="K10:K11"/>
    <mergeCell ref="F10:F12"/>
    <mergeCell ref="G5:H5"/>
    <mergeCell ref="G6:H6"/>
    <mergeCell ref="G7:H7"/>
    <mergeCell ref="G8:H8"/>
    <mergeCell ref="I5:K5"/>
  </mergeCells>
  <phoneticPr fontId="16"/>
  <conditionalFormatting sqref="I5:K5">
    <cfRule type="containsText" dxfId="8" priority="1" operator="containsText" text="○">
      <formula>NOT(ISERROR(SEARCH("○",I5)))</formula>
    </cfRule>
  </conditionalFormatting>
  <conditionalFormatting sqref="I6:M8">
    <cfRule type="containsText" dxfId="7" priority="3" operator="containsText" text="設定">
      <formula>NOT(ISERROR(SEARCH("設定",I6)))</formula>
    </cfRule>
  </conditionalFormatting>
  <conditionalFormatting sqref="L5:M5">
    <cfRule type="containsText" dxfId="6" priority="2" operator="containsText" text="設定の学校番号を入力">
      <formula>NOT(ISERROR(SEARCH("設定の学校番号を入力",L5)))</formula>
    </cfRule>
  </conditionalFormatting>
  <conditionalFormatting sqref="AH15:AH16">
    <cfRule type="cellIs" dxfId="5" priority="4" stopIfTrue="1" operator="equal">
      <formula>"申し込みに不備が有ります"</formula>
    </cfRule>
  </conditionalFormatting>
  <conditionalFormatting sqref="AH14:AI14">
    <cfRule type="cellIs" dxfId="4" priority="5" stopIfTrue="1" operator="equal">
      <formula>"参加しません"</formula>
    </cfRule>
  </conditionalFormatting>
  <dataValidations count="5">
    <dataValidation type="list" allowBlank="1" showErrorMessage="1" sqref="M14:M29" xr:uid="{00000000-0002-0000-0200-000000000000}">
      <formula1>$Z$9:$Z$24</formula1>
      <formula2>0</formula2>
    </dataValidation>
    <dataValidation type="list" allowBlank="1" showErrorMessage="1" sqref="L14:L29" xr:uid="{00000000-0002-0000-0200-000001000000}">
      <formula1>$AA$9:$AA$17</formula1>
      <formula2>0</formula2>
    </dataValidation>
    <dataValidation allowBlank="1" showErrorMessage="1" sqref="G14:I29 N14:N29" xr:uid="{00000000-0002-0000-0200-000002000000}">
      <formula1>0</formula1>
      <formula2>0</formula2>
    </dataValidation>
    <dataValidation type="list" allowBlank="1" showErrorMessage="1" sqref="J14:J29" xr:uid="{00000000-0002-0000-0200-000003000000}">
      <formula1>$T$14:$T$16</formula1>
      <formula2>0</formula2>
    </dataValidation>
    <dataValidation type="list" allowBlank="1" showErrorMessage="1" sqref="K14:K29" xr:uid="{00000000-0002-0000-0200-000004000000}">
      <formula1>$Y$9:$Y$10</formula1>
      <formula2>0</formula2>
    </dataValidation>
  </dataValidations>
  <hyperlinks>
    <hyperlink ref="F53" location="男子処理用!A1" display="男子処理用!A1" xr:uid="{00000000-0004-0000-0200-000000000000}"/>
  </hyperlinks>
  <printOptions horizontalCentered="1" verticalCentered="1"/>
  <pageMargins left="0.31496062992125984" right="0.35433070866141736" top="0.35433070866141736" bottom="0.35433070866141736" header="0.51181102362204722" footer="0.51181102362204722"/>
  <pageSetup paperSize="9" scale="105" firstPageNumber="0"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40"/>
  <sheetViews>
    <sheetView showGridLines="0" workbookViewId="0">
      <selection activeCell="F5" sqref="F5"/>
    </sheetView>
  </sheetViews>
  <sheetFormatPr defaultColWidth="9" defaultRowHeight="13" x14ac:dyDescent="0.2"/>
  <cols>
    <col min="1" max="1" width="5.90625" style="22" customWidth="1"/>
    <col min="2" max="2" width="5.453125" style="22" bestFit="1" customWidth="1"/>
    <col min="3" max="3" width="15.453125" style="22" customWidth="1"/>
    <col min="4" max="4" width="16.36328125" style="22" customWidth="1"/>
    <col min="5" max="5" width="16.6328125" style="22" customWidth="1"/>
    <col min="6" max="6" width="16.36328125" style="22" customWidth="1"/>
    <col min="7" max="7" width="3.36328125" style="22" customWidth="1"/>
    <col min="8" max="8" width="16.36328125" style="22" customWidth="1"/>
    <col min="9" max="9" width="3.36328125" style="22" customWidth="1"/>
    <col min="10" max="10" width="16.36328125" style="22" customWidth="1"/>
    <col min="11" max="11" width="3.36328125" style="22" customWidth="1"/>
    <col min="12" max="12" width="16.36328125" style="22" customWidth="1"/>
    <col min="13" max="13" width="3.36328125" style="22" customWidth="1"/>
    <col min="14" max="14" width="16.36328125" style="22" customWidth="1"/>
    <col min="15" max="15" width="3.36328125" style="22" customWidth="1"/>
    <col min="16" max="16" width="16.36328125" style="22" customWidth="1"/>
    <col min="17" max="17" width="3.36328125" style="22" customWidth="1"/>
    <col min="18" max="18" width="16.36328125" style="22" customWidth="1"/>
    <col min="19" max="19" width="3.36328125" style="22" customWidth="1"/>
    <col min="20" max="20" width="16.36328125" style="22" customWidth="1"/>
    <col min="21" max="21" width="3.36328125" style="22" customWidth="1"/>
    <col min="22" max="22" width="3.7265625" style="22" customWidth="1"/>
    <col min="23" max="23" width="5.453125" style="22" bestFit="1" customWidth="1"/>
    <col min="24" max="24" width="3.453125" style="22" bestFit="1" customWidth="1"/>
    <col min="25" max="16384" width="9" style="22"/>
  </cols>
  <sheetData>
    <row r="1" spans="1:26" x14ac:dyDescent="0.2">
      <c r="A1" s="22" t="str">
        <f>Menu!C4</f>
        <v>高校総体</v>
      </c>
      <c r="C1" s="74" t="str">
        <f>IF(男子!V13=0,"参加者男","団体男")</f>
        <v>参加者男</v>
      </c>
      <c r="F1" s="86" t="s">
        <v>48</v>
      </c>
      <c r="W1" s="22" t="s">
        <v>68</v>
      </c>
      <c r="X1" s="22">
        <v>14</v>
      </c>
    </row>
    <row r="2" spans="1:26" x14ac:dyDescent="0.2">
      <c r="C2" s="74" t="str">
        <f>IF(女子!V13=0,"参加者女","団体女")</f>
        <v>参加者女</v>
      </c>
      <c r="W2" s="22" t="s">
        <v>67</v>
      </c>
      <c r="X2" s="22">
        <v>19</v>
      </c>
    </row>
    <row r="3" spans="1:26" x14ac:dyDescent="0.2">
      <c r="A3" s="145" t="s">
        <v>62</v>
      </c>
      <c r="B3" s="145" t="s">
        <v>63</v>
      </c>
      <c r="C3" s="148" t="s">
        <v>59</v>
      </c>
      <c r="D3" s="150" t="s">
        <v>60</v>
      </c>
      <c r="E3" s="151"/>
      <c r="F3" s="146">
        <v>1</v>
      </c>
      <c r="G3" s="147"/>
      <c r="H3" s="146">
        <v>2</v>
      </c>
      <c r="I3" s="147"/>
      <c r="J3" s="146">
        <v>3</v>
      </c>
      <c r="K3" s="147"/>
      <c r="L3" s="146">
        <v>4</v>
      </c>
      <c r="M3" s="147"/>
      <c r="N3" s="146">
        <v>5</v>
      </c>
      <c r="O3" s="147"/>
      <c r="P3" s="146">
        <v>6</v>
      </c>
      <c r="Q3" s="147"/>
      <c r="R3" s="146">
        <v>7</v>
      </c>
      <c r="S3" s="147"/>
      <c r="T3" s="146">
        <v>8</v>
      </c>
      <c r="U3" s="147"/>
      <c r="V3" s="145" t="s">
        <v>62</v>
      </c>
    </row>
    <row r="4" spans="1:26" ht="23" x14ac:dyDescent="0.2">
      <c r="A4" s="145"/>
      <c r="B4" s="145"/>
      <c r="C4" s="149"/>
      <c r="D4" s="77" t="s">
        <v>79</v>
      </c>
      <c r="E4" s="78"/>
      <c r="F4" s="77" t="s">
        <v>79</v>
      </c>
      <c r="G4" s="79" t="s">
        <v>61</v>
      </c>
      <c r="H4" s="77" t="s">
        <v>79</v>
      </c>
      <c r="I4" s="79" t="s">
        <v>61</v>
      </c>
      <c r="J4" s="77" t="s">
        <v>79</v>
      </c>
      <c r="K4" s="79" t="s">
        <v>61</v>
      </c>
      <c r="L4" s="77" t="s">
        <v>79</v>
      </c>
      <c r="M4" s="79" t="s">
        <v>61</v>
      </c>
      <c r="N4" s="77" t="s">
        <v>79</v>
      </c>
      <c r="O4" s="79" t="s">
        <v>61</v>
      </c>
      <c r="P4" s="77" t="s">
        <v>79</v>
      </c>
      <c r="Q4" s="79" t="s">
        <v>61</v>
      </c>
      <c r="R4" s="77" t="s">
        <v>79</v>
      </c>
      <c r="S4" s="79" t="s">
        <v>61</v>
      </c>
      <c r="T4" s="77" t="s">
        <v>79</v>
      </c>
      <c r="U4" s="79" t="s">
        <v>61</v>
      </c>
      <c r="V4" s="145"/>
    </row>
    <row r="5" spans="1:26" x14ac:dyDescent="0.2">
      <c r="A5" s="95"/>
      <c r="B5" s="49" t="s">
        <v>64</v>
      </c>
      <c r="C5" s="96" t="str">
        <f>Menu!H8</f>
        <v>↑学校番号を入力して下さい。</v>
      </c>
      <c r="D5" s="49" t="str">
        <f>男子!S13</f>
        <v>　</v>
      </c>
      <c r="E5" s="49" t="s">
        <v>65</v>
      </c>
      <c r="F5" s="49" t="str">
        <f ca="1">IFERROR(VLOOKUP(F3,INDIRECT($C$1),VLOOKUP(LEFT($C$1,2),$W$1:$Y$2,2),FALSE),"")</f>
        <v>　</v>
      </c>
      <c r="G5" s="49">
        <f ca="1">IFERROR(VLOOKUP(F3,INDIRECT($C$1),VLOOKUP(LEFT($C$1,2),$W$1:$Y$2,2)-9,FALSE),"")</f>
        <v>0</v>
      </c>
      <c r="H5" s="49" t="str">
        <f ca="1">IFERROR(VLOOKUP(H3,INDIRECT($C$1),VLOOKUP(LEFT($C$1,2),$W$1:$Y$2,2),FALSE),"")</f>
        <v>　</v>
      </c>
      <c r="I5" s="49">
        <f ca="1">IFERROR(VLOOKUP(H3,INDIRECT($C$1),VLOOKUP(LEFT($C$1,2),$W$1:$Y$2,2)-9,FALSE),"")</f>
        <v>0</v>
      </c>
      <c r="J5" s="49" t="str">
        <f ca="1">IFERROR(VLOOKUP(J3,INDIRECT($C$1),VLOOKUP(LEFT($C$1,2),$W$1:$Y$2,2),FALSE),"")</f>
        <v>　</v>
      </c>
      <c r="K5" s="49">
        <f ca="1">IFERROR(VLOOKUP(J3,INDIRECT($C$1),VLOOKUP(LEFT($C$1,2),$W$1:$Y$2,2)-9,FALSE),"")</f>
        <v>0</v>
      </c>
      <c r="L5" s="49" t="str">
        <f ca="1">IFERROR(VLOOKUP(L3,INDIRECT($C$1),VLOOKUP(LEFT($C$1,2),$W$1:$Y$2,2),FALSE),"")</f>
        <v>　</v>
      </c>
      <c r="M5" s="49">
        <f ca="1">IFERROR(VLOOKUP(L3,INDIRECT($C$1),VLOOKUP(LEFT($C$1,2),$W$1:$Y$2,2)-9,FALSE),"")</f>
        <v>0</v>
      </c>
      <c r="N5" s="49" t="str">
        <f ca="1">IFERROR(VLOOKUP(N3,INDIRECT($C$1),VLOOKUP(LEFT($C$1,2),$W$1:$Y$2,2),FALSE),"")</f>
        <v>　</v>
      </c>
      <c r="O5" s="49">
        <f ca="1">IFERROR(VLOOKUP(N3,INDIRECT($C$1),VLOOKUP(LEFT($C$1,2),$W$1:$Y$2,2)-9,FALSE),"")</f>
        <v>0</v>
      </c>
      <c r="P5" s="49" t="str">
        <f ca="1">IFERROR(VLOOKUP(P3,INDIRECT($C$1),VLOOKUP(LEFT($C$1,2),$W$1:$Y$2,2),FALSE),"")</f>
        <v>　</v>
      </c>
      <c r="Q5" s="49">
        <f ca="1">IFERROR(VLOOKUP(P3,INDIRECT($C$1),VLOOKUP(LEFT($C$1,2),$W$1:$Y$2,2)-9,FALSE),"")</f>
        <v>0</v>
      </c>
      <c r="R5" s="49" t="str">
        <f ca="1">IFERROR(VLOOKUP(R3,INDIRECT($C$1),VLOOKUP(LEFT($C$1,2),$W$1:$Y$2,2),FALSE),"")</f>
        <v>　</v>
      </c>
      <c r="S5" s="49">
        <f ca="1">IFERROR(VLOOKUP(R3,INDIRECT($C$1),VLOOKUP(LEFT($C$1,2),$W$1:$Y$2,2)-9,FALSE),"")</f>
        <v>0</v>
      </c>
      <c r="T5" s="49" t="str">
        <f ca="1">IFERROR(VLOOKUP(T3,INDIRECT($C$1),VLOOKUP(LEFT($C$1,2),$W$1:$Y$2,2),FALSE),"")</f>
        <v>　</v>
      </c>
      <c r="U5" s="49">
        <f ca="1">IFERROR(VLOOKUP(T3,INDIRECT($C$1),VLOOKUP(LEFT($C$1,2),$W$1:$Y$2,2)-9,FALSE),"")</f>
        <v>0</v>
      </c>
      <c r="V5" s="95">
        <f>Menu!C6</f>
        <v>0</v>
      </c>
      <c r="Z5" s="97"/>
    </row>
    <row r="6" spans="1:26" x14ac:dyDescent="0.2">
      <c r="A6" s="95"/>
      <c r="B6" s="49" t="s">
        <v>66</v>
      </c>
      <c r="C6" s="96" t="str">
        <f>Menu!H8</f>
        <v>↑学校番号を入力して下さい。</v>
      </c>
      <c r="D6" s="49" t="str">
        <f>女子!S13</f>
        <v>　</v>
      </c>
      <c r="E6" s="49" t="s">
        <v>65</v>
      </c>
      <c r="F6" s="49" t="str">
        <f ca="1">IFERROR(VLOOKUP(F3,INDIRECT($C$2),VLOOKUP(LEFT($C$2,2),$W$1:$Y$2,2),FALSE),"")</f>
        <v>　</v>
      </c>
      <c r="G6" s="49">
        <f ca="1">IFERROR(VLOOKUP(F3,INDIRECT($C$2),VLOOKUP(LEFT($C$2,2),$W$1:$Y$2,2)-9,FALSE),"")</f>
        <v>0</v>
      </c>
      <c r="H6" s="49" t="str">
        <f ca="1">IFERROR(VLOOKUP(H3,INDIRECT($C$2),VLOOKUP(LEFT($C$2,2),$W$1:$Y$2,2),FALSE),"")</f>
        <v>　</v>
      </c>
      <c r="I6" s="49">
        <f ca="1">IFERROR(VLOOKUP(H3,INDIRECT($C$2),VLOOKUP(LEFT($C$2,2),$W$1:$Y$2,2)-9,FALSE),"")</f>
        <v>0</v>
      </c>
      <c r="J6" s="49" t="str">
        <f ca="1">IFERROR(VLOOKUP(J3,INDIRECT($C$2),VLOOKUP(LEFT($C$2,2),$W$1:$Y$2,2),FALSE),"")</f>
        <v>　</v>
      </c>
      <c r="K6" s="49">
        <f ca="1">IFERROR(VLOOKUP(J3,INDIRECT($C$2),VLOOKUP(LEFT($C$2,2),$W$1:$Y$2,2)-9,FALSE),"")</f>
        <v>0</v>
      </c>
      <c r="L6" s="49" t="str">
        <f ca="1">IFERROR(VLOOKUP(L3,INDIRECT($C$2),VLOOKUP(LEFT($C$2,2),$W$1:$Y$2,2),FALSE),"")</f>
        <v>　</v>
      </c>
      <c r="M6" s="49">
        <f ca="1">IFERROR(VLOOKUP(L3,INDIRECT($C$2),VLOOKUP(LEFT($C$2,2),$W$1:$Y$2,2)-9,FALSE),"")</f>
        <v>0</v>
      </c>
      <c r="N6" s="49" t="str">
        <f ca="1">IFERROR(VLOOKUP(N3,INDIRECT($C$2),VLOOKUP(LEFT($C$2,2),$W$1:$Y$2,2),FALSE),"")</f>
        <v>　</v>
      </c>
      <c r="O6" s="49">
        <f ca="1">IFERROR(VLOOKUP(N3,INDIRECT($C$2),VLOOKUP(LEFT($C$2,2),$W$1:$Y$2,2)-9,FALSE),"")</f>
        <v>0</v>
      </c>
      <c r="P6" s="49" t="str">
        <f ca="1">IFERROR(VLOOKUP(P3,INDIRECT($C$2),VLOOKUP(LEFT($C$2,2),$W$1:$Y$2,2),FALSE),"")</f>
        <v>　</v>
      </c>
      <c r="Q6" s="49">
        <f ca="1">IFERROR(VLOOKUP(P3,INDIRECT($C$2),VLOOKUP(LEFT($C$2,2),$W$1:$Y$2,2)-9,FALSE),"")</f>
        <v>0</v>
      </c>
      <c r="R6" s="49" t="str">
        <f ca="1">IFERROR(VLOOKUP(R3,INDIRECT($C$2),VLOOKUP(LEFT($C$2,2),$W$1:$Y$2,2),FALSE),"")</f>
        <v>　</v>
      </c>
      <c r="S6" s="49">
        <f ca="1">IFERROR(VLOOKUP(R3,INDIRECT($C$2),VLOOKUP(LEFT($C$2,2),$W$1:$Y$2,2)-9,FALSE),"")</f>
        <v>0</v>
      </c>
      <c r="T6" s="49" t="str">
        <f ca="1">IFERROR(VLOOKUP(T3,INDIRECT($C$2),VLOOKUP(LEFT($C$2,2),$W$1:$Y$2,2),FALSE),"")</f>
        <v>　</v>
      </c>
      <c r="U6" s="49">
        <f ca="1">IFERROR(VLOOKUP(T3,INDIRECT($C$2),VLOOKUP(LEFT($C$2,2),$W$1:$Y$2,2)-9,FALSE),"")</f>
        <v>0</v>
      </c>
      <c r="V6" s="95">
        <f>Menu!C6</f>
        <v>0</v>
      </c>
      <c r="Z6" s="97"/>
    </row>
    <row r="7" spans="1:26" x14ac:dyDescent="0.2">
      <c r="A7" s="75"/>
    </row>
    <row r="8" spans="1:26" x14ac:dyDescent="0.2">
      <c r="A8" s="75"/>
    </row>
    <row r="9" spans="1:26" x14ac:dyDescent="0.2">
      <c r="A9" s="75"/>
    </row>
    <row r="10" spans="1:26" ht="27" x14ac:dyDescent="0.2">
      <c r="A10" s="80" t="s">
        <v>74</v>
      </c>
      <c r="B10" s="80" t="s">
        <v>70</v>
      </c>
      <c r="C10" s="80" t="s">
        <v>71</v>
      </c>
      <c r="D10" s="80" t="s">
        <v>75</v>
      </c>
      <c r="E10" s="80" t="s">
        <v>76</v>
      </c>
      <c r="F10" s="80" t="s">
        <v>77</v>
      </c>
      <c r="G10" s="81" t="s">
        <v>63</v>
      </c>
    </row>
    <row r="11" spans="1:26" x14ac:dyDescent="0.2">
      <c r="A11" s="22" t="str">
        <f>IF(B11="","",Menu!$C$6)</f>
        <v/>
      </c>
      <c r="B11" s="94" t="str">
        <f>IF($A71="","",VLOOKUP($A71,予処理!$A$2:$H$49,2))</f>
        <v/>
      </c>
      <c r="C11" s="22" t="str">
        <f>IF($A71="","",VLOOKUP($A71,予処理!$A$2:$H$49,5,FALSE))</f>
        <v/>
      </c>
      <c r="D11" s="94" t="str">
        <f>IF($A71="","",VLOOKUP($A71,予処理!$A$2:$H$49,6,FALSE))</f>
        <v/>
      </c>
      <c r="E11" s="94" t="str">
        <f>IF($A71="","",VLOOKUP($A71,予処理!$A$2:$H$49,7,FALSE))</f>
        <v/>
      </c>
      <c r="F11" s="94" t="str">
        <f>IF($A71="","",VLOOKUP($A71,予処理!$A$2:$H$49,8,FALSE))</f>
        <v/>
      </c>
      <c r="G11" s="94" t="str">
        <f>IF($A71="","",VLOOKUP($A71,予処理!$A$2:$H$49,4,FALSE))</f>
        <v/>
      </c>
    </row>
    <row r="12" spans="1:26" x14ac:dyDescent="0.2">
      <c r="A12" s="22" t="str">
        <f>IF(B12="","",Menu!$C$6)</f>
        <v/>
      </c>
      <c r="B12" s="94" t="str">
        <f>IF($A72="","",VLOOKUP($A72,予処理!$A$2:$H$49,2))</f>
        <v/>
      </c>
      <c r="C12" s="22" t="str">
        <f>IF($A72="","",VLOOKUP($A72,予処理!$A$2:$H$49,5,FALSE))</f>
        <v/>
      </c>
      <c r="D12" s="94" t="str">
        <f>IF($A72="","",VLOOKUP($A72,予処理!$A$2:$H$49,6,FALSE))</f>
        <v/>
      </c>
      <c r="E12" s="94" t="str">
        <f>IF($A72="","",VLOOKUP($A72,予処理!$A$2:$H$49,7,FALSE))</f>
        <v/>
      </c>
      <c r="F12" s="94" t="str">
        <f>IF($A72="","",VLOOKUP($A72,予処理!$A$2:$H$49,8,FALSE))</f>
        <v/>
      </c>
      <c r="G12" s="94" t="str">
        <f>IF($A72="","",VLOOKUP($A72,予処理!$A$2:$H$49,4,FALSE))</f>
        <v/>
      </c>
    </row>
    <row r="13" spans="1:26" x14ac:dyDescent="0.2">
      <c r="A13" s="22" t="str">
        <f>IF(B13="","",Menu!$C$6)</f>
        <v/>
      </c>
      <c r="B13" s="94" t="str">
        <f>IF($A73="","",VLOOKUP($A73,予処理!$A$2:$H$49,2))</f>
        <v/>
      </c>
      <c r="C13" s="22" t="str">
        <f>IF($A73="","",VLOOKUP($A73,予処理!$A$2:$H$49,5,FALSE))</f>
        <v/>
      </c>
      <c r="D13" s="94" t="str">
        <f>IF($A73="","",VLOOKUP($A73,予処理!$A$2:$H$49,6,FALSE))</f>
        <v/>
      </c>
      <c r="E13" s="94" t="str">
        <f>IF($A73="","",VLOOKUP($A73,予処理!$A$2:$H$49,7,FALSE))</f>
        <v/>
      </c>
      <c r="F13" s="94" t="str">
        <f>IF($A73="","",VLOOKUP($A73,予処理!$A$2:$H$49,8,FALSE))</f>
        <v/>
      </c>
      <c r="G13" s="94" t="str">
        <f>IF($A73="","",VLOOKUP($A73,予処理!$A$2:$H$49,4,FALSE))</f>
        <v/>
      </c>
    </row>
    <row r="14" spans="1:26" x14ac:dyDescent="0.2">
      <c r="A14" s="22" t="str">
        <f>IF(B14="","",Menu!$C$6)</f>
        <v/>
      </c>
      <c r="B14" s="94" t="str">
        <f>IF($A74="","",VLOOKUP($A74,予処理!$A$2:$H$49,2))</f>
        <v/>
      </c>
      <c r="C14" s="22" t="str">
        <f>IF($A74="","",VLOOKUP($A74,予処理!$A$2:$H$49,5,FALSE))</f>
        <v/>
      </c>
      <c r="D14" s="94" t="str">
        <f>IF($A74="","",VLOOKUP($A74,予処理!$A$2:$H$49,6,FALSE))</f>
        <v/>
      </c>
      <c r="E14" s="94" t="str">
        <f>IF($A74="","",VLOOKUP($A74,予処理!$A$2:$H$49,7,FALSE))</f>
        <v/>
      </c>
      <c r="F14" s="94" t="str">
        <f>IF($A74="","",VLOOKUP($A74,予処理!$A$2:$H$49,8,FALSE))</f>
        <v/>
      </c>
      <c r="G14" s="94" t="str">
        <f>IF($A74="","",VLOOKUP($A74,予処理!$A$2:$H$49,4,FALSE))</f>
        <v/>
      </c>
    </row>
    <row r="15" spans="1:26" x14ac:dyDescent="0.2">
      <c r="A15" s="22" t="str">
        <f>IF(B15="","",Menu!$C$6)</f>
        <v/>
      </c>
      <c r="B15" s="94" t="str">
        <f>IF($A75="","",VLOOKUP($A75,予処理!$A$2:$H$49,2))</f>
        <v/>
      </c>
      <c r="C15" s="22" t="str">
        <f>IF($A75="","",VLOOKUP($A75,予処理!$A$2:$H$49,5,FALSE))</f>
        <v/>
      </c>
      <c r="D15" s="94" t="str">
        <f>IF($A75="","",VLOOKUP($A75,予処理!$A$2:$H$49,6,FALSE))</f>
        <v/>
      </c>
      <c r="E15" s="94" t="str">
        <f>IF($A75="","",VLOOKUP($A75,予処理!$A$2:$H$49,7,FALSE))</f>
        <v/>
      </c>
      <c r="F15" s="94" t="str">
        <f>IF($A75="","",VLOOKUP($A75,予処理!$A$2:$H$49,8,FALSE))</f>
        <v/>
      </c>
      <c r="G15" s="94" t="str">
        <f>IF($A75="","",VLOOKUP($A75,予処理!$A$2:$H$49,4,FALSE))</f>
        <v/>
      </c>
    </row>
    <row r="16" spans="1:26" x14ac:dyDescent="0.2">
      <c r="A16" s="22" t="str">
        <f>IF(B16="","",Menu!$C$6)</f>
        <v/>
      </c>
      <c r="B16" s="94" t="str">
        <f>IF($A76="","",VLOOKUP($A76,予処理!$A$2:$H$49,2))</f>
        <v/>
      </c>
      <c r="C16" s="22" t="str">
        <f>IF($A76="","",VLOOKUP($A76,予処理!$A$2:$H$49,5,FALSE))</f>
        <v/>
      </c>
      <c r="D16" s="94" t="str">
        <f>IF($A76="","",VLOOKUP($A76,予処理!$A$2:$H$49,6,FALSE))</f>
        <v/>
      </c>
      <c r="E16" s="94" t="str">
        <f>IF($A76="","",VLOOKUP($A76,予処理!$A$2:$H$49,7,FALSE))</f>
        <v/>
      </c>
      <c r="F16" s="94" t="str">
        <f>IF($A76="","",VLOOKUP($A76,予処理!$A$2:$H$49,8,FALSE))</f>
        <v/>
      </c>
      <c r="G16" s="94" t="str">
        <f>IF($A76="","",VLOOKUP($A76,予処理!$A$2:$H$49,4,FALSE))</f>
        <v/>
      </c>
    </row>
    <row r="17" spans="1:16" x14ac:dyDescent="0.2">
      <c r="A17" s="22" t="str">
        <f>IF(B17="","",Menu!$C$6)</f>
        <v/>
      </c>
      <c r="B17" s="94" t="str">
        <f>IF($A77="","",VLOOKUP($A77,予処理!$A$2:$H$49,2))</f>
        <v/>
      </c>
      <c r="C17" s="22" t="str">
        <f>IF($A77="","",VLOOKUP($A77,予処理!$A$2:$H$49,5,FALSE))</f>
        <v/>
      </c>
      <c r="D17" s="94" t="str">
        <f>IF($A77="","",VLOOKUP($A77,予処理!$A$2:$H$49,6,FALSE))</f>
        <v/>
      </c>
      <c r="E17" s="94" t="str">
        <f>IF($A77="","",VLOOKUP($A77,予処理!$A$2:$H$49,7,FALSE))</f>
        <v/>
      </c>
      <c r="F17" s="94" t="str">
        <f>IF($A77="","",VLOOKUP($A77,予処理!$A$2:$H$49,8,FALSE))</f>
        <v/>
      </c>
      <c r="G17" s="94" t="str">
        <f>IF($A77="","",VLOOKUP($A77,予処理!$A$2:$H$49,4,FALSE))</f>
        <v/>
      </c>
    </row>
    <row r="18" spans="1:16" x14ac:dyDescent="0.2">
      <c r="A18" s="22" t="str">
        <f>IF(B18="","",Menu!$C$6)</f>
        <v/>
      </c>
      <c r="B18" s="94" t="str">
        <f>IF($A78="","",VLOOKUP($A78,予処理!$A$2:$H$49,2))</f>
        <v/>
      </c>
      <c r="C18" s="22" t="str">
        <f>IF($A78="","",VLOOKUP($A78,予処理!$A$2:$H$49,5,FALSE))</f>
        <v/>
      </c>
      <c r="D18" s="94" t="str">
        <f>IF($A78="","",VLOOKUP($A78,予処理!$A$2:$H$49,6,FALSE))</f>
        <v/>
      </c>
      <c r="E18" s="94" t="str">
        <f>IF($A78="","",VLOOKUP($A78,予処理!$A$2:$H$49,7,FALSE))</f>
        <v/>
      </c>
      <c r="F18" s="94" t="str">
        <f>IF($A78="","",VLOOKUP($A78,予処理!$A$2:$H$49,8,FALSE))</f>
        <v/>
      </c>
      <c r="G18" s="94" t="str">
        <f>IF($A78="","",VLOOKUP($A78,予処理!$A$2:$H$49,4,FALSE))</f>
        <v/>
      </c>
    </row>
    <row r="19" spans="1:16" x14ac:dyDescent="0.2">
      <c r="A19" s="22" t="str">
        <f>IF(B19="","",Menu!$C$6)</f>
        <v/>
      </c>
      <c r="B19" s="94" t="str">
        <f>IF($A79="","",VLOOKUP($A79,予処理!$A$2:$H$49,2))</f>
        <v/>
      </c>
      <c r="C19" s="22" t="str">
        <f>IF($A79="","",VLOOKUP($A79,予処理!$A$2:$H$49,5,FALSE))</f>
        <v/>
      </c>
      <c r="D19" s="94" t="str">
        <f>IF($A79="","",VLOOKUP($A79,予処理!$A$2:$H$49,6,FALSE))</f>
        <v/>
      </c>
      <c r="E19" s="94" t="str">
        <f>IF($A79="","",VLOOKUP($A79,予処理!$A$2:$H$49,7,FALSE))</f>
        <v/>
      </c>
      <c r="F19" s="94" t="str">
        <f>IF($A79="","",VLOOKUP($A79,予処理!$A$2:$H$49,8,FALSE))</f>
        <v/>
      </c>
      <c r="G19" s="94" t="str">
        <f>IF($A79="","",VLOOKUP($A79,予処理!$A$2:$H$49,4,FALSE))</f>
        <v/>
      </c>
    </row>
    <row r="20" spans="1:16" x14ac:dyDescent="0.2">
      <c r="A20" s="22" t="str">
        <f>IF(B20="","",Menu!$C$6)</f>
        <v/>
      </c>
      <c r="B20" s="94" t="str">
        <f>IF($A80="","",VLOOKUP($A80,予処理!$A$2:$H$49,2))</f>
        <v/>
      </c>
      <c r="C20" s="22" t="str">
        <f>IF($A80="","",VLOOKUP($A80,予処理!$A$2:$H$49,5,FALSE))</f>
        <v/>
      </c>
      <c r="D20" s="94" t="str">
        <f>IF($A80="","",VLOOKUP($A80,予処理!$A$2:$H$49,6,FALSE))</f>
        <v/>
      </c>
      <c r="E20" s="94" t="str">
        <f>IF($A80="","",VLOOKUP($A80,予処理!$A$2:$H$49,7,FALSE))</f>
        <v/>
      </c>
      <c r="F20" s="94" t="str">
        <f>IF($A80="","",VLOOKUP($A80,予処理!$A$2:$H$49,8,FALSE))</f>
        <v/>
      </c>
      <c r="G20" s="94" t="str">
        <f>IF($A80="","",VLOOKUP($A80,予処理!$A$2:$H$49,4,FALSE))</f>
        <v/>
      </c>
      <c r="J20" s="75"/>
      <c r="K20" s="75"/>
      <c r="L20" s="75"/>
      <c r="M20" s="75"/>
      <c r="N20" s="75"/>
      <c r="O20" s="75"/>
      <c r="P20" s="75"/>
    </row>
    <row r="21" spans="1:16" x14ac:dyDescent="0.2">
      <c r="A21" s="22" t="str">
        <f>IF(B21="","",Menu!$C$6)</f>
        <v/>
      </c>
      <c r="B21" s="94" t="str">
        <f>IF($A81="","",VLOOKUP($A81,予処理!$A$2:$H$49,2))</f>
        <v/>
      </c>
      <c r="C21" s="22" t="str">
        <f>IF($A81="","",VLOOKUP($A81,予処理!$A$2:$H$49,5,FALSE))</f>
        <v/>
      </c>
      <c r="D21" s="94" t="str">
        <f>IF($A81="","",VLOOKUP($A81,予処理!$A$2:$H$49,6,FALSE))</f>
        <v/>
      </c>
      <c r="E21" s="94" t="str">
        <f>IF($A81="","",VLOOKUP($A81,予処理!$A$2:$H$49,7,FALSE))</f>
        <v/>
      </c>
      <c r="F21" s="94" t="str">
        <f>IF($A81="","",VLOOKUP($A81,予処理!$A$2:$H$49,8,FALSE))</f>
        <v/>
      </c>
      <c r="G21" s="94" t="str">
        <f>IF($A81="","",VLOOKUP($A81,予処理!$A$2:$H$49,4,FALSE))</f>
        <v/>
      </c>
      <c r="J21" s="75"/>
      <c r="K21" s="75"/>
      <c r="L21" s="75"/>
      <c r="M21" s="75"/>
      <c r="N21" s="75"/>
      <c r="O21" s="75"/>
      <c r="P21" s="75"/>
    </row>
    <row r="22" spans="1:16" x14ac:dyDescent="0.2">
      <c r="A22" s="22" t="str">
        <f>IF(B22="","",Menu!$C$6)</f>
        <v/>
      </c>
      <c r="B22" s="94" t="str">
        <f>IF($A82="","",VLOOKUP($A82,予処理!$A$2:$H$49,2))</f>
        <v/>
      </c>
      <c r="C22" s="22" t="str">
        <f>IF($A82="","",VLOOKUP($A82,予処理!$A$2:$H$49,5,FALSE))</f>
        <v/>
      </c>
      <c r="D22" s="94" t="str">
        <f>IF($A82="","",VLOOKUP($A82,予処理!$A$2:$H$49,6,FALSE))</f>
        <v/>
      </c>
      <c r="E22" s="94" t="str">
        <f>IF($A82="","",VLOOKUP($A82,予処理!$A$2:$H$49,7,FALSE))</f>
        <v/>
      </c>
      <c r="F22" s="94" t="str">
        <f>IF($A82="","",VLOOKUP($A82,予処理!$A$2:$H$49,8,FALSE))</f>
        <v/>
      </c>
      <c r="G22" s="94" t="str">
        <f>IF($A82="","",VLOOKUP($A82,予処理!$A$2:$H$49,4,FALSE))</f>
        <v/>
      </c>
      <c r="J22" s="75"/>
      <c r="K22" s="75"/>
      <c r="L22" s="75"/>
      <c r="M22" s="75"/>
      <c r="N22" s="75"/>
      <c r="O22" s="75"/>
      <c r="P22" s="75"/>
    </row>
    <row r="23" spans="1:16" x14ac:dyDescent="0.2">
      <c r="A23" s="22" t="str">
        <f>IF(B23="","",Menu!$C$6)</f>
        <v/>
      </c>
      <c r="B23" s="94" t="str">
        <f>IF($A83="","",VLOOKUP($A83,予処理!$A$2:$H$49,2))</f>
        <v/>
      </c>
      <c r="C23" s="22" t="str">
        <f>IF($A83="","",VLOOKUP($A83,予処理!$A$2:$H$49,5,FALSE))</f>
        <v/>
      </c>
      <c r="D23" s="94" t="str">
        <f>IF($A83="","",VLOOKUP($A83,予処理!$A$2:$H$49,6,FALSE))</f>
        <v/>
      </c>
      <c r="E23" s="94" t="str">
        <f>IF($A83="","",VLOOKUP($A83,予処理!$A$2:$H$49,7,FALSE))</f>
        <v/>
      </c>
      <c r="F23" s="94" t="str">
        <f>IF($A83="","",VLOOKUP($A83,予処理!$A$2:$H$49,8,FALSE))</f>
        <v/>
      </c>
      <c r="G23" s="94" t="str">
        <f>IF($A83="","",VLOOKUP($A83,予処理!$A$2:$H$49,4,FALSE))</f>
        <v/>
      </c>
      <c r="J23" s="75"/>
      <c r="K23" s="75"/>
      <c r="L23" s="75"/>
      <c r="M23" s="75"/>
      <c r="N23" s="75"/>
      <c r="O23" s="75"/>
      <c r="P23" s="75"/>
    </row>
    <row r="24" spans="1:16" x14ac:dyDescent="0.2">
      <c r="A24" s="22" t="str">
        <f>IF(B24="","",Menu!$C$6)</f>
        <v/>
      </c>
      <c r="B24" s="94" t="str">
        <f>IF($A84="","",VLOOKUP($A84,予処理!$A$2:$H$49,2))</f>
        <v/>
      </c>
      <c r="C24" s="22" t="str">
        <f>IF($A84="","",VLOOKUP($A84,予処理!$A$2:$H$49,5,FALSE))</f>
        <v/>
      </c>
      <c r="D24" s="94" t="str">
        <f>IF($A84="","",VLOOKUP($A84,予処理!$A$2:$H$49,6,FALSE))</f>
        <v/>
      </c>
      <c r="E24" s="94" t="str">
        <f>IF($A84="","",VLOOKUP($A84,予処理!$A$2:$H$49,7,FALSE))</f>
        <v/>
      </c>
      <c r="F24" s="94" t="str">
        <f>IF($A84="","",VLOOKUP($A84,予処理!$A$2:$H$49,8,FALSE))</f>
        <v/>
      </c>
      <c r="G24" s="94" t="str">
        <f>IF($A84="","",VLOOKUP($A84,予処理!$A$2:$H$49,4,FALSE))</f>
        <v/>
      </c>
      <c r="J24" s="75"/>
      <c r="K24" s="75"/>
      <c r="L24" s="75"/>
      <c r="M24" s="75"/>
      <c r="N24" s="75"/>
      <c r="O24" s="75"/>
      <c r="P24" s="75"/>
    </row>
    <row r="25" spans="1:16" x14ac:dyDescent="0.2">
      <c r="A25" s="22" t="str">
        <f>IF(B25="","",Menu!$C$6)</f>
        <v/>
      </c>
      <c r="B25" s="94" t="str">
        <f>IF($A85="","",VLOOKUP($A85,予処理!$A$2:$H$49,2))</f>
        <v/>
      </c>
      <c r="C25" s="22" t="str">
        <f>IF($A85="","",VLOOKUP($A85,予処理!$A$2:$H$49,5,FALSE))</f>
        <v/>
      </c>
      <c r="D25" s="94" t="str">
        <f>IF($A85="","",VLOOKUP($A85,予処理!$A$2:$H$49,6,FALSE))</f>
        <v/>
      </c>
      <c r="E25" s="94" t="str">
        <f>IF($A85="","",VLOOKUP($A85,予処理!$A$2:$H$49,7,FALSE))</f>
        <v/>
      </c>
      <c r="F25" s="94" t="str">
        <f>IF($A85="","",VLOOKUP($A85,予処理!$A$2:$H$49,8,FALSE))</f>
        <v/>
      </c>
      <c r="G25" s="94" t="str">
        <f>IF($A85="","",VLOOKUP($A85,予処理!$A$2:$H$49,4,FALSE))</f>
        <v/>
      </c>
      <c r="J25" s="75"/>
      <c r="K25" s="75"/>
      <c r="L25" s="75"/>
      <c r="M25" s="75"/>
      <c r="N25" s="75"/>
      <c r="O25" s="75"/>
      <c r="P25" s="75"/>
    </row>
    <row r="26" spans="1:16" x14ac:dyDescent="0.2">
      <c r="A26" s="22" t="str">
        <f>IF(B26="","",Menu!$C$6)</f>
        <v/>
      </c>
      <c r="B26" s="94" t="str">
        <f>IF($A86="","",VLOOKUP($A86,予処理!$A$2:$H$49,2))</f>
        <v/>
      </c>
      <c r="C26" s="22" t="str">
        <f>IF($A86="","",VLOOKUP($A86,予処理!$A$2:$H$49,5,FALSE))</f>
        <v/>
      </c>
      <c r="D26" s="94" t="str">
        <f>IF($A86="","",VLOOKUP($A86,予処理!$A$2:$H$49,6,FALSE))</f>
        <v/>
      </c>
      <c r="E26" s="94" t="str">
        <f>IF($A86="","",VLOOKUP($A86,予処理!$A$2:$H$49,7,FALSE))</f>
        <v/>
      </c>
      <c r="F26" s="94" t="str">
        <f>IF($A86="","",VLOOKUP($A86,予処理!$A$2:$H$49,8,FALSE))</f>
        <v/>
      </c>
      <c r="G26" s="94" t="str">
        <f>IF($A86="","",VLOOKUP($A86,予処理!$A$2:$H$49,4,FALSE))</f>
        <v/>
      </c>
      <c r="J26" s="75"/>
      <c r="K26" s="75"/>
      <c r="L26" s="75"/>
      <c r="M26" s="75"/>
      <c r="N26" s="75"/>
      <c r="O26" s="75"/>
      <c r="P26" s="75"/>
    </row>
    <row r="27" spans="1:16" x14ac:dyDescent="0.2">
      <c r="A27" s="22" t="str">
        <f>IF(B27="","",Menu!$C$6)</f>
        <v/>
      </c>
      <c r="B27" s="94" t="str">
        <f>IF($A87="","",VLOOKUP($A87,予処理!$A$2:$H$49,2))</f>
        <v/>
      </c>
      <c r="C27" s="22" t="str">
        <f>IF($A87="","",VLOOKUP($A87,予処理!$A$2:$H$49,5,FALSE))</f>
        <v/>
      </c>
      <c r="D27" s="94" t="str">
        <f>IF($A87="","",VLOOKUP($A87,予処理!$A$2:$H$49,6,FALSE))</f>
        <v/>
      </c>
      <c r="E27" s="94" t="str">
        <f>IF($A87="","",VLOOKUP($A87,予処理!$A$2:$H$49,7,FALSE))</f>
        <v/>
      </c>
      <c r="F27" s="94" t="str">
        <f>IF($A87="","",VLOOKUP($A87,予処理!$A$2:$H$49,8,FALSE))</f>
        <v/>
      </c>
      <c r="G27" s="94" t="str">
        <f>IF($A87="","",VLOOKUP($A87,予処理!$A$2:$H$49,4,FALSE))</f>
        <v/>
      </c>
      <c r="J27" s="75"/>
      <c r="K27" s="75"/>
      <c r="L27" s="75"/>
      <c r="M27" s="75"/>
      <c r="N27" s="75"/>
      <c r="O27" s="75"/>
      <c r="P27" s="75"/>
    </row>
    <row r="28" spans="1:16" x14ac:dyDescent="0.2">
      <c r="A28" s="22" t="str">
        <f>IF(B28="","",Menu!$C$6)</f>
        <v/>
      </c>
      <c r="B28" s="94" t="str">
        <f>IF($A88="","",VLOOKUP($A88,予処理!$A$2:$H$49,2))</f>
        <v/>
      </c>
      <c r="C28" s="22" t="str">
        <f>IF($A88="","",VLOOKUP($A88,予処理!$A$2:$H$49,5,FALSE))</f>
        <v/>
      </c>
      <c r="D28" s="94" t="str">
        <f>IF($A88="","",VLOOKUP($A88,予処理!$A$2:$H$49,6,FALSE))</f>
        <v/>
      </c>
      <c r="E28" s="94" t="str">
        <f>IF($A88="","",VLOOKUP($A88,予処理!$A$2:$H$49,7,FALSE))</f>
        <v/>
      </c>
      <c r="F28" s="94" t="str">
        <f>IF($A88="","",VLOOKUP($A88,予処理!$A$2:$H$49,8,FALSE))</f>
        <v/>
      </c>
      <c r="G28" s="94" t="str">
        <f>IF($A88="","",VLOOKUP($A88,予処理!$A$2:$H$49,4,FALSE))</f>
        <v/>
      </c>
      <c r="J28" s="75"/>
      <c r="K28" s="75"/>
      <c r="L28" s="75"/>
      <c r="M28" s="75"/>
      <c r="N28" s="75"/>
      <c r="O28" s="75"/>
      <c r="P28" s="75"/>
    </row>
    <row r="29" spans="1:16" x14ac:dyDescent="0.2">
      <c r="A29" s="22" t="str">
        <f>IF(B29="","",Menu!$C$6)</f>
        <v/>
      </c>
      <c r="B29" s="94" t="str">
        <f>IF($A89="","",VLOOKUP($A89,予処理!$A$2:$H$49,2))</f>
        <v/>
      </c>
      <c r="C29" s="22" t="str">
        <f>IF($A89="","",VLOOKUP($A89,予処理!$A$2:$H$49,5,FALSE))</f>
        <v/>
      </c>
      <c r="D29" s="94" t="str">
        <f>IF($A89="","",VLOOKUP($A89,予処理!$A$2:$H$49,6,FALSE))</f>
        <v/>
      </c>
      <c r="E29" s="94" t="str">
        <f>IF($A89="","",VLOOKUP($A89,予処理!$A$2:$H$49,7,FALSE))</f>
        <v/>
      </c>
      <c r="F29" s="94" t="str">
        <f>IF($A89="","",VLOOKUP($A89,予処理!$A$2:$H$49,8,FALSE))</f>
        <v/>
      </c>
      <c r="G29" s="94" t="str">
        <f>IF($A89="","",VLOOKUP($A89,予処理!$A$2:$H$49,4,FALSE))</f>
        <v/>
      </c>
      <c r="J29" s="75"/>
      <c r="K29" s="75"/>
      <c r="L29" s="75"/>
      <c r="M29" s="75"/>
      <c r="N29" s="75"/>
      <c r="O29" s="75"/>
      <c r="P29" s="75"/>
    </row>
    <row r="30" spans="1:16" x14ac:dyDescent="0.2">
      <c r="A30" s="22" t="str">
        <f>IF(B30="","",Menu!$C$6)</f>
        <v/>
      </c>
      <c r="B30" s="94" t="str">
        <f>IF($A90="","",VLOOKUP($A90,予処理!$A$2:$H$49,2))</f>
        <v/>
      </c>
      <c r="C30" s="22" t="str">
        <f>IF($A90="","",VLOOKUP($A90,予処理!$A$2:$H$49,5,FALSE))</f>
        <v/>
      </c>
      <c r="D30" s="94" t="str">
        <f>IF($A90="","",VLOOKUP($A90,予処理!$A$2:$H$49,6,FALSE))</f>
        <v/>
      </c>
      <c r="E30" s="94" t="str">
        <f>IF($A90="","",VLOOKUP($A90,予処理!$A$2:$H$49,7,FALSE))</f>
        <v/>
      </c>
      <c r="F30" s="94" t="str">
        <f>IF($A90="","",VLOOKUP($A90,予処理!$A$2:$H$49,8,FALSE))</f>
        <v/>
      </c>
      <c r="G30" s="94" t="str">
        <f>IF($A90="","",VLOOKUP($A90,予処理!$A$2:$H$49,4,FALSE))</f>
        <v/>
      </c>
      <c r="J30" s="75"/>
      <c r="K30" s="75"/>
      <c r="L30" s="75"/>
      <c r="M30" s="75"/>
      <c r="N30" s="75"/>
      <c r="O30" s="75"/>
      <c r="P30" s="75"/>
    </row>
    <row r="31" spans="1:16" x14ac:dyDescent="0.2">
      <c r="A31" s="22" t="str">
        <f>IF(B31="","",Menu!$C$6)</f>
        <v/>
      </c>
      <c r="B31" s="94" t="str">
        <f>IF($A91="","",VLOOKUP($A91,予処理!$A$2:$H$49,2))</f>
        <v/>
      </c>
      <c r="C31" s="22" t="str">
        <f>IF($A91="","",VLOOKUP($A91,予処理!$A$2:$H$49,5,FALSE))</f>
        <v/>
      </c>
      <c r="D31" s="94" t="str">
        <f>IF($A91="","",VLOOKUP($A91,予処理!$A$2:$H$49,6,FALSE))</f>
        <v/>
      </c>
      <c r="E31" s="94" t="str">
        <f>IF($A91="","",VLOOKUP($A91,予処理!$A$2:$H$49,7,FALSE))</f>
        <v/>
      </c>
      <c r="F31" s="94" t="str">
        <f>IF($A91="","",VLOOKUP($A91,予処理!$A$2:$H$49,8,FALSE))</f>
        <v/>
      </c>
      <c r="G31" s="94" t="str">
        <f>IF($A91="","",VLOOKUP($A91,予処理!$A$2:$H$49,4,FALSE))</f>
        <v/>
      </c>
      <c r="J31" s="75"/>
      <c r="K31" s="75"/>
      <c r="L31" s="75"/>
      <c r="M31" s="75"/>
      <c r="N31" s="75"/>
      <c r="O31" s="75"/>
      <c r="P31" s="75"/>
    </row>
    <row r="32" spans="1:16" x14ac:dyDescent="0.2">
      <c r="A32" s="22" t="str">
        <f>IF(B32="","",Menu!$C$6)</f>
        <v/>
      </c>
      <c r="B32" s="94" t="str">
        <f>IF($A92="","",VLOOKUP($A92,予処理!$A$2:$H$49,2))</f>
        <v/>
      </c>
      <c r="C32" s="22" t="str">
        <f>IF($A92="","",VLOOKUP($A92,予処理!$A$2:$H$49,5,FALSE))</f>
        <v/>
      </c>
      <c r="D32" s="94" t="str">
        <f>IF($A92="","",VLOOKUP($A92,予処理!$A$2:$H$49,6,FALSE))</f>
        <v/>
      </c>
      <c r="E32" s="94" t="str">
        <f>IF($A92="","",VLOOKUP($A92,予処理!$A$2:$H$49,7,FALSE))</f>
        <v/>
      </c>
      <c r="F32" s="94" t="str">
        <f>IF($A92="","",VLOOKUP($A92,予処理!$A$2:$H$49,8,FALSE))</f>
        <v/>
      </c>
      <c r="G32" s="94" t="str">
        <f>IF($A92="","",VLOOKUP($A92,予処理!$A$2:$H$49,4,FALSE))</f>
        <v/>
      </c>
      <c r="J32" s="75"/>
      <c r="K32" s="75"/>
      <c r="L32" s="75"/>
      <c r="M32" s="75"/>
      <c r="N32" s="75"/>
      <c r="O32" s="75"/>
      <c r="P32" s="75"/>
    </row>
    <row r="33" spans="1:16" x14ac:dyDescent="0.2">
      <c r="A33" s="22" t="str">
        <f>IF(B33="","",Menu!$C$6)</f>
        <v/>
      </c>
      <c r="B33" s="94" t="str">
        <f>IF($A93="","",VLOOKUP($A93,予処理!$A$2:$H$49,2))</f>
        <v/>
      </c>
      <c r="C33" s="22" t="str">
        <f>IF($A93="","",VLOOKUP($A93,予処理!$A$2:$H$49,5,FALSE))</f>
        <v/>
      </c>
      <c r="D33" s="94" t="str">
        <f>IF($A93="","",VLOOKUP($A93,予処理!$A$2:$H$49,6,FALSE))</f>
        <v/>
      </c>
      <c r="E33" s="94" t="str">
        <f>IF($A93="","",VLOOKUP($A93,予処理!$A$2:$H$49,7,FALSE))</f>
        <v/>
      </c>
      <c r="F33" s="94" t="str">
        <f>IF($A93="","",VLOOKUP($A93,予処理!$A$2:$H$49,8,FALSE))</f>
        <v/>
      </c>
      <c r="G33" s="94" t="str">
        <f>IF($A93="","",VLOOKUP($A93,予処理!$A$2:$H$49,4,FALSE))</f>
        <v/>
      </c>
      <c r="J33" s="75"/>
      <c r="K33" s="75"/>
      <c r="L33" s="75"/>
      <c r="M33" s="75"/>
      <c r="N33" s="75"/>
      <c r="O33" s="75"/>
      <c r="P33" s="75"/>
    </row>
    <row r="34" spans="1:16" x14ac:dyDescent="0.2">
      <c r="A34" s="22" t="str">
        <f>IF(B34="","",Menu!$C$6)</f>
        <v/>
      </c>
      <c r="B34" s="94" t="str">
        <f>IF($A94="","",VLOOKUP($A94,予処理!$A$2:$H$49,2))</f>
        <v/>
      </c>
      <c r="C34" s="22" t="str">
        <f>IF($A94="","",VLOOKUP($A94,予処理!$A$2:$H$49,5,FALSE))</f>
        <v/>
      </c>
      <c r="D34" s="94" t="str">
        <f>IF($A94="","",VLOOKUP($A94,予処理!$A$2:$H$49,6,FALSE))</f>
        <v/>
      </c>
      <c r="E34" s="94" t="str">
        <f>IF($A94="","",VLOOKUP($A94,予処理!$A$2:$H$49,7,FALSE))</f>
        <v/>
      </c>
      <c r="F34" s="94" t="str">
        <f>IF($A94="","",VLOOKUP($A94,予処理!$A$2:$H$49,8,FALSE))</f>
        <v/>
      </c>
      <c r="G34" s="94" t="str">
        <f>IF($A94="","",VLOOKUP($A94,予処理!$A$2:$H$49,4,FALSE))</f>
        <v/>
      </c>
      <c r="J34" s="75"/>
      <c r="K34" s="75"/>
      <c r="L34" s="75"/>
      <c r="M34" s="75"/>
      <c r="N34" s="75"/>
      <c r="O34" s="75"/>
      <c r="P34" s="75"/>
    </row>
    <row r="35" spans="1:16" x14ac:dyDescent="0.2">
      <c r="A35" s="22" t="str">
        <f>IF(B35="","",Menu!$C$6)</f>
        <v/>
      </c>
      <c r="B35" s="94" t="str">
        <f>IF($A95="","",VLOOKUP($A95,予処理!$A$2:$H$49,2))</f>
        <v/>
      </c>
      <c r="C35" s="22" t="str">
        <f>IF($A95="","",VLOOKUP($A95,予処理!$A$2:$H$49,5,FALSE))</f>
        <v/>
      </c>
      <c r="D35" s="94" t="str">
        <f>IF($A95="","",VLOOKUP($A95,予処理!$A$2:$H$49,6,FALSE))</f>
        <v/>
      </c>
      <c r="E35" s="94" t="str">
        <f>IF($A95="","",VLOOKUP($A95,予処理!$A$2:$H$49,7,FALSE))</f>
        <v/>
      </c>
      <c r="F35" s="94" t="str">
        <f>IF($A95="","",VLOOKUP($A95,予処理!$A$2:$H$49,8,FALSE))</f>
        <v/>
      </c>
      <c r="G35" s="94" t="str">
        <f>IF($A95="","",VLOOKUP($A95,予処理!$A$2:$H$49,4,FALSE))</f>
        <v/>
      </c>
      <c r="J35" s="75"/>
      <c r="K35" s="75"/>
      <c r="L35" s="75"/>
      <c r="M35" s="75"/>
      <c r="N35" s="75"/>
      <c r="O35" s="75"/>
      <c r="P35" s="75"/>
    </row>
    <row r="36" spans="1:16" x14ac:dyDescent="0.2">
      <c r="A36" s="22" t="str">
        <f>IF(B36="","",Menu!$C$6)</f>
        <v/>
      </c>
      <c r="B36" s="94" t="str">
        <f>IF($A96="","",VLOOKUP($A96,予処理!$A$2:$H$49,2))</f>
        <v/>
      </c>
      <c r="C36" s="22" t="str">
        <f>IF($A96="","",VLOOKUP($A96,予処理!$A$2:$H$49,5,FALSE))</f>
        <v/>
      </c>
      <c r="D36" s="94" t="str">
        <f>IF($A96="","",VLOOKUP($A96,予処理!$A$2:$H$49,6,FALSE))</f>
        <v/>
      </c>
      <c r="E36" s="94" t="str">
        <f>IF($A96="","",VLOOKUP($A96,予処理!$A$2:$H$49,7,FALSE))</f>
        <v/>
      </c>
      <c r="F36" s="94" t="str">
        <f>IF($A96="","",VLOOKUP($A96,予処理!$A$2:$H$49,8,FALSE))</f>
        <v/>
      </c>
      <c r="G36" s="94" t="str">
        <f>IF($A96="","",VLOOKUP($A96,予処理!$A$2:$H$49,4,FALSE))</f>
        <v/>
      </c>
      <c r="J36" s="75"/>
      <c r="K36" s="75"/>
      <c r="L36" s="75"/>
      <c r="M36" s="75"/>
      <c r="N36" s="75"/>
      <c r="O36" s="75"/>
      <c r="P36" s="75"/>
    </row>
    <row r="37" spans="1:16" x14ac:dyDescent="0.2">
      <c r="A37" s="22" t="str">
        <f>IF(B37="","",Menu!$C$6)</f>
        <v/>
      </c>
      <c r="B37" s="94" t="str">
        <f>IF($A97="","",VLOOKUP($A97,予処理!$A$2:$H$49,2))</f>
        <v/>
      </c>
      <c r="C37" s="22" t="str">
        <f>IF($A97="","",VLOOKUP($A97,予処理!$A$2:$H$49,5,FALSE))</f>
        <v/>
      </c>
      <c r="D37" s="94" t="str">
        <f>IF($A97="","",VLOOKUP($A97,予処理!$A$2:$H$49,6,FALSE))</f>
        <v/>
      </c>
      <c r="E37" s="94" t="str">
        <f>IF($A97="","",VLOOKUP($A97,予処理!$A$2:$H$49,7,FALSE))</f>
        <v/>
      </c>
      <c r="F37" s="94" t="str">
        <f>IF($A97="","",VLOOKUP($A97,予処理!$A$2:$H$49,8,FALSE))</f>
        <v/>
      </c>
      <c r="G37" s="94" t="str">
        <f>IF($A97="","",VLOOKUP($A97,予処理!$A$2:$H$49,4,FALSE))</f>
        <v/>
      </c>
      <c r="J37" s="75"/>
      <c r="K37" s="75"/>
      <c r="L37" s="75"/>
      <c r="M37" s="75"/>
      <c r="N37" s="75"/>
      <c r="O37" s="75"/>
      <c r="P37" s="75"/>
    </row>
    <row r="38" spans="1:16" x14ac:dyDescent="0.2">
      <c r="A38" s="22" t="str">
        <f>IF(B38="","",Menu!$C$6)</f>
        <v/>
      </c>
      <c r="B38" s="94" t="str">
        <f>IF($A98="","",VLOOKUP($A98,予処理!$A$2:$H$49,2))</f>
        <v/>
      </c>
      <c r="C38" s="22" t="str">
        <f>IF($A98="","",VLOOKUP($A98,予処理!$A$2:$H$49,5,FALSE))</f>
        <v/>
      </c>
      <c r="D38" s="94" t="str">
        <f>IF($A98="","",VLOOKUP($A98,予処理!$A$2:$H$49,6,FALSE))</f>
        <v/>
      </c>
      <c r="E38" s="94" t="str">
        <f>IF($A98="","",VLOOKUP($A98,予処理!$A$2:$H$49,7,FALSE))</f>
        <v/>
      </c>
      <c r="F38" s="94" t="str">
        <f>IF($A98="","",VLOOKUP($A98,予処理!$A$2:$H$49,8,FALSE))</f>
        <v/>
      </c>
      <c r="G38" s="94" t="str">
        <f>IF($A98="","",VLOOKUP($A98,予処理!$A$2:$H$49,4,FALSE))</f>
        <v/>
      </c>
    </row>
    <row r="39" spans="1:16" x14ac:dyDescent="0.2">
      <c r="A39" s="22" t="str">
        <f>IF(B39="","",Menu!$C$6)</f>
        <v/>
      </c>
      <c r="B39" s="94" t="str">
        <f>IF($A99="","",VLOOKUP($A99,予処理!$A$2:$H$49,2))</f>
        <v/>
      </c>
      <c r="C39" s="22" t="str">
        <f>IF($A99="","",VLOOKUP($A99,予処理!$A$2:$H$49,5,FALSE))</f>
        <v/>
      </c>
      <c r="D39" s="94" t="str">
        <f>IF($A99="","",VLOOKUP($A99,予処理!$A$2:$H$49,6,FALSE))</f>
        <v/>
      </c>
      <c r="E39" s="94" t="str">
        <f>IF($A99="","",VLOOKUP($A99,予処理!$A$2:$H$49,7,FALSE))</f>
        <v/>
      </c>
      <c r="F39" s="94" t="str">
        <f>IF($A99="","",VLOOKUP($A99,予処理!$A$2:$H$49,8,FALSE))</f>
        <v/>
      </c>
      <c r="G39" s="94" t="str">
        <f>IF($A99="","",VLOOKUP($A99,予処理!$A$2:$H$49,4,FALSE))</f>
        <v/>
      </c>
    </row>
    <row r="40" spans="1:16" x14ac:dyDescent="0.2">
      <c r="A40" s="22" t="str">
        <f>IF(B40="","",Menu!$C$6)</f>
        <v/>
      </c>
      <c r="B40" s="94" t="str">
        <f>IF($A100="","",VLOOKUP($A100,予処理!$A$2:$H$49,2))</f>
        <v/>
      </c>
      <c r="C40" s="22" t="str">
        <f>IF($A100="","",VLOOKUP($A100,予処理!$A$2:$H$49,5,FALSE))</f>
        <v/>
      </c>
      <c r="D40" s="94" t="str">
        <f>IF($A100="","",VLOOKUP($A100,予処理!$A$2:$H$49,6,FALSE))</f>
        <v/>
      </c>
      <c r="E40" s="94" t="str">
        <f>IF($A100="","",VLOOKUP($A100,予処理!$A$2:$H$49,7,FALSE))</f>
        <v/>
      </c>
      <c r="F40" s="94" t="str">
        <f>IF($A100="","",VLOOKUP($A100,予処理!$A$2:$H$49,8,FALSE))</f>
        <v/>
      </c>
      <c r="G40" s="94" t="str">
        <f>IF($A100="","",VLOOKUP($A100,予処理!$A$2:$H$49,4,FALSE))</f>
        <v/>
      </c>
    </row>
    <row r="41" spans="1:16" x14ac:dyDescent="0.2">
      <c r="A41" s="22" t="str">
        <f>IF(B41="","",Menu!$C$6)</f>
        <v/>
      </c>
      <c r="B41" s="94" t="str">
        <f>IF($A101="","",VLOOKUP($A101,予処理!$A$2:$H$49,2))</f>
        <v/>
      </c>
      <c r="C41" s="22" t="str">
        <f>IF($A101="","",VLOOKUP($A101,予処理!$A$2:$H$49,5,FALSE))</f>
        <v/>
      </c>
      <c r="D41" s="94" t="str">
        <f>IF($A101="","",VLOOKUP($A101,予処理!$A$2:$H$49,6,FALSE))</f>
        <v/>
      </c>
      <c r="E41" s="94" t="str">
        <f>IF($A101="","",VLOOKUP($A101,予処理!$A$2:$H$49,7,FALSE))</f>
        <v/>
      </c>
      <c r="F41" s="94" t="str">
        <f>IF($A101="","",VLOOKUP($A101,予処理!$A$2:$H$49,8,FALSE))</f>
        <v/>
      </c>
      <c r="G41" s="94" t="str">
        <f>IF($A101="","",VLOOKUP($A101,予処理!$A$2:$H$49,4,FALSE))</f>
        <v/>
      </c>
    </row>
    <row r="42" spans="1:16" x14ac:dyDescent="0.2">
      <c r="A42" s="22" t="str">
        <f>IF(B42="","",Menu!$C$6)</f>
        <v/>
      </c>
      <c r="B42" s="94" t="str">
        <f>IF($A102="","",VLOOKUP($A102,予処理!$A$2:$H$49,2))</f>
        <v/>
      </c>
      <c r="C42" s="22" t="str">
        <f>IF($A102="","",VLOOKUP($A102,予処理!$A$2:$H$49,5,FALSE))</f>
        <v/>
      </c>
      <c r="D42" s="94" t="str">
        <f>IF($A102="","",VLOOKUP($A102,予処理!$A$2:$H$49,6,FALSE))</f>
        <v/>
      </c>
      <c r="E42" s="94" t="str">
        <f>IF($A102="","",VLOOKUP($A102,予処理!$A$2:$H$49,7,FALSE))</f>
        <v/>
      </c>
      <c r="F42" s="94" t="str">
        <f>IF($A102="","",VLOOKUP($A102,予処理!$A$2:$H$49,8,FALSE))</f>
        <v/>
      </c>
      <c r="G42" s="94" t="str">
        <f>IF($A102="","",VLOOKUP($A102,予処理!$A$2:$H$49,4,FALSE))</f>
        <v/>
      </c>
    </row>
    <row r="43" spans="1:16" x14ac:dyDescent="0.2">
      <c r="A43" s="22" t="str">
        <f>IF(B43="","",Menu!$C$6)</f>
        <v/>
      </c>
      <c r="B43" s="94" t="str">
        <f>IF($A103="","",VLOOKUP($A103,予処理!$A$2:$H$49,2))</f>
        <v/>
      </c>
      <c r="C43" s="22" t="str">
        <f>IF($A103="","",VLOOKUP($A103,予処理!$A$2:$H$49,5,FALSE))</f>
        <v/>
      </c>
      <c r="D43" s="94" t="str">
        <f>IF($A103="","",VLOOKUP($A103,予処理!$A$2:$H$49,6,FALSE))</f>
        <v/>
      </c>
      <c r="E43" s="94" t="str">
        <f>IF($A103="","",VLOOKUP($A103,予処理!$A$2:$H$49,7,FALSE))</f>
        <v/>
      </c>
      <c r="F43" s="94" t="str">
        <f>IF($A103="","",VLOOKUP($A103,予処理!$A$2:$H$49,8,FALSE))</f>
        <v/>
      </c>
      <c r="G43" s="94" t="str">
        <f>IF($A103="","",VLOOKUP($A103,予処理!$A$2:$H$49,4,FALSE))</f>
        <v/>
      </c>
    </row>
    <row r="44" spans="1:16" x14ac:dyDescent="0.2">
      <c r="A44" s="22" t="str">
        <f>IF(B44="","",Menu!$C$6)</f>
        <v/>
      </c>
      <c r="B44" s="94" t="str">
        <f>IF($A104="","",VLOOKUP($A104,予処理!$A$2:$H$49,2))</f>
        <v/>
      </c>
      <c r="C44" s="22" t="str">
        <f>IF($A104="","",VLOOKUP($A104,予処理!$A$2:$H$49,5,FALSE))</f>
        <v/>
      </c>
      <c r="D44" s="94" t="str">
        <f>IF($A104="","",VLOOKUP($A104,予処理!$A$2:$H$49,6,FALSE))</f>
        <v/>
      </c>
      <c r="E44" s="94" t="str">
        <f>IF($A104="","",VLOOKUP($A104,予処理!$A$2:$H$49,7,FALSE))</f>
        <v/>
      </c>
      <c r="F44" s="94" t="str">
        <f>IF($A104="","",VLOOKUP($A104,予処理!$A$2:$H$49,8,FALSE))</f>
        <v/>
      </c>
      <c r="G44" s="94" t="str">
        <f>IF($A104="","",VLOOKUP($A104,予処理!$A$2:$H$49,4,FALSE))</f>
        <v/>
      </c>
    </row>
    <row r="45" spans="1:16" x14ac:dyDescent="0.2">
      <c r="A45" s="22" t="str">
        <f>IF(B45="","",Menu!$C$6)</f>
        <v/>
      </c>
      <c r="B45" s="94" t="str">
        <f>IF($A105="","",VLOOKUP($A105,予処理!$A$2:$H$49,2))</f>
        <v/>
      </c>
      <c r="C45" s="22" t="str">
        <f>IF($A105="","",VLOOKUP($A105,予処理!$A$2:$H$49,5,FALSE))</f>
        <v/>
      </c>
      <c r="D45" s="94" t="str">
        <f>IF($A105="","",VLOOKUP($A105,予処理!$A$2:$H$49,6,FALSE))</f>
        <v/>
      </c>
      <c r="E45" s="94" t="str">
        <f>IF($A105="","",VLOOKUP($A105,予処理!$A$2:$H$49,7,FALSE))</f>
        <v/>
      </c>
      <c r="F45" s="94" t="str">
        <f>IF($A105="","",VLOOKUP($A105,予処理!$A$2:$H$49,8,FALSE))</f>
        <v/>
      </c>
      <c r="G45" s="94" t="str">
        <f>IF($A105="","",VLOOKUP($A105,予処理!$A$2:$H$49,4,FALSE))</f>
        <v/>
      </c>
    </row>
    <row r="46" spans="1:16" x14ac:dyDescent="0.2">
      <c r="A46" s="22" t="str">
        <f>IF(B46="","",Menu!$C$6)</f>
        <v/>
      </c>
      <c r="B46" s="94" t="str">
        <f>IF($A106="","",VLOOKUP($A106,予処理!$A$2:$H$49,2))</f>
        <v/>
      </c>
      <c r="C46" s="22" t="str">
        <f>IF($A106="","",VLOOKUP($A106,予処理!$A$2:$H$49,5,FALSE))</f>
        <v/>
      </c>
      <c r="D46" s="94" t="str">
        <f>IF($A106="","",VLOOKUP($A106,予処理!$A$2:$H$49,6,FALSE))</f>
        <v/>
      </c>
      <c r="E46" s="94" t="str">
        <f>IF($A106="","",VLOOKUP($A106,予処理!$A$2:$H$49,7,FALSE))</f>
        <v/>
      </c>
      <c r="F46" s="94" t="str">
        <f>IF($A106="","",VLOOKUP($A106,予処理!$A$2:$H$49,8,FALSE))</f>
        <v/>
      </c>
      <c r="G46" s="94" t="str">
        <f>IF($A106="","",VLOOKUP($A106,予処理!$A$2:$H$49,4,FALSE))</f>
        <v/>
      </c>
    </row>
    <row r="47" spans="1:16" x14ac:dyDescent="0.2">
      <c r="A47" s="22" t="str">
        <f>IF(B47="","",Menu!$C$6)</f>
        <v/>
      </c>
      <c r="B47" s="94" t="str">
        <f>IF($A107="","",VLOOKUP($A107,予処理!$A$2:$H$49,2))</f>
        <v/>
      </c>
      <c r="C47" s="22" t="str">
        <f>IF($A107="","",VLOOKUP($A107,予処理!$A$2:$H$49,5,FALSE))</f>
        <v/>
      </c>
      <c r="D47" s="94" t="str">
        <f>IF($A107="","",VLOOKUP($A107,予処理!$A$2:$H$49,6,FALSE))</f>
        <v/>
      </c>
      <c r="E47" s="94" t="str">
        <f>IF($A107="","",VLOOKUP($A107,予処理!$A$2:$H$49,7,FALSE))</f>
        <v/>
      </c>
      <c r="F47" s="94" t="str">
        <f>IF($A107="","",VLOOKUP($A107,予処理!$A$2:$H$49,8,FALSE))</f>
        <v/>
      </c>
      <c r="G47" s="94" t="str">
        <f>IF($A107="","",VLOOKUP($A107,予処理!$A$2:$H$49,4,FALSE))</f>
        <v/>
      </c>
    </row>
    <row r="48" spans="1:16" x14ac:dyDescent="0.2">
      <c r="A48" s="22" t="str">
        <f>IF(B48="","",Menu!$C$6)</f>
        <v/>
      </c>
      <c r="B48" s="94" t="str">
        <f>IF($A108="","",VLOOKUP($A108,予処理!$A$2:$H$49,2))</f>
        <v/>
      </c>
      <c r="C48" s="22" t="str">
        <f>IF($A108="","",VLOOKUP($A108,予処理!$A$2:$H$49,5,FALSE))</f>
        <v/>
      </c>
      <c r="D48" s="94" t="str">
        <f>IF($A108="","",VLOOKUP($A108,予処理!$A$2:$H$49,6,FALSE))</f>
        <v/>
      </c>
      <c r="E48" s="94" t="str">
        <f>IF($A108="","",VLOOKUP($A108,予処理!$A$2:$H$49,7,FALSE))</f>
        <v/>
      </c>
      <c r="F48" s="94" t="str">
        <f>IF($A108="","",VLOOKUP($A108,予処理!$A$2:$H$49,8,FALSE))</f>
        <v/>
      </c>
      <c r="G48" s="94" t="str">
        <f>IF($A108="","",VLOOKUP($A108,予処理!$A$2:$H$49,4,FALSE))</f>
        <v/>
      </c>
      <c r="I48" s="75"/>
    </row>
    <row r="49" spans="1:9" x14ac:dyDescent="0.2">
      <c r="A49" s="22" t="str">
        <f>IF(B49="","",Menu!$C$6)</f>
        <v/>
      </c>
      <c r="B49" s="94" t="str">
        <f>IF($A109="","",VLOOKUP($A109,予処理!$A$2:$H$49,2))</f>
        <v/>
      </c>
      <c r="C49" s="22" t="str">
        <f>IF($A109="","",VLOOKUP($A109,予処理!$A$2:$H$49,5,FALSE))</f>
        <v/>
      </c>
      <c r="D49" s="94" t="str">
        <f>IF($A109="","",VLOOKUP($A109,予処理!$A$2:$H$49,6,FALSE))</f>
        <v/>
      </c>
      <c r="E49" s="94" t="str">
        <f>IF($A109="","",VLOOKUP($A109,予処理!$A$2:$H$49,7,FALSE))</f>
        <v/>
      </c>
      <c r="F49" s="94" t="str">
        <f>IF($A109="","",VLOOKUP($A109,予処理!$A$2:$H$49,8,FALSE))</f>
        <v/>
      </c>
      <c r="G49" s="94" t="str">
        <f>IF($A109="","",VLOOKUP($A109,予処理!$A$2:$H$49,4,FALSE))</f>
        <v/>
      </c>
      <c r="I49" s="75"/>
    </row>
    <row r="50" spans="1:9" x14ac:dyDescent="0.2">
      <c r="A50" s="22" t="str">
        <f>IF(B50="","",Menu!$C$6)</f>
        <v/>
      </c>
      <c r="B50" s="22" t="str">
        <f>IF($A110="","",VLOOKUP($A110,予処理!$A$2:$H$49,2))</f>
        <v/>
      </c>
      <c r="C50" s="22" t="str">
        <f>IF($A110="","",VLOOKUP($A110,予処理!$A$2:$H$49,5,FALSE))</f>
        <v/>
      </c>
      <c r="D50" s="94" t="str">
        <f>IF($A110="","",VLOOKUP($A110,予処理!$A$2:$H$49,6,FALSE))</f>
        <v/>
      </c>
      <c r="E50" s="94" t="str">
        <f>IF($A110="","",VLOOKUP($A110,予処理!$A$2:$H$49,7,FALSE))</f>
        <v/>
      </c>
      <c r="F50" s="94" t="str">
        <f>IF($A110="","",VLOOKUP($A110,予処理!$A$2:$H$49,8,FALSE))</f>
        <v/>
      </c>
      <c r="G50" s="94" t="str">
        <f>IF($A110="","",VLOOKUP($A110,予処理!$A$2:$H$49,4,FALSE))</f>
        <v/>
      </c>
      <c r="I50" s="75"/>
    </row>
    <row r="51" spans="1:9" x14ac:dyDescent="0.2">
      <c r="G51" s="75"/>
      <c r="H51" s="75"/>
      <c r="I51" s="75"/>
    </row>
    <row r="52" spans="1:9" x14ac:dyDescent="0.2">
      <c r="G52" s="75"/>
      <c r="H52" s="75"/>
      <c r="I52" s="75"/>
    </row>
    <row r="53" spans="1:9" x14ac:dyDescent="0.2">
      <c r="G53" s="75"/>
      <c r="H53" s="75"/>
      <c r="I53" s="75"/>
    </row>
    <row r="54" spans="1:9" x14ac:dyDescent="0.2">
      <c r="G54" s="75"/>
      <c r="H54" s="75"/>
      <c r="I54" s="75"/>
    </row>
    <row r="55" spans="1:9" x14ac:dyDescent="0.2">
      <c r="G55" s="75"/>
      <c r="H55" s="75"/>
      <c r="I55" s="75"/>
    </row>
    <row r="56" spans="1:9" x14ac:dyDescent="0.2">
      <c r="G56" s="75"/>
      <c r="H56" s="75"/>
      <c r="I56" s="75"/>
    </row>
    <row r="57" spans="1:9" x14ac:dyDescent="0.2">
      <c r="G57" s="75"/>
      <c r="H57" s="75"/>
      <c r="I57" s="75"/>
    </row>
    <row r="58" spans="1:9" x14ac:dyDescent="0.2">
      <c r="G58" s="75"/>
      <c r="H58" s="75"/>
      <c r="I58" s="75"/>
    </row>
    <row r="69" spans="1:1" hidden="1" x14ac:dyDescent="0.2"/>
    <row r="70" spans="1:1" hidden="1" x14ac:dyDescent="0.2">
      <c r="A70" s="75">
        <f>MAX(予処理!A2:A49)</f>
        <v>0</v>
      </c>
    </row>
    <row r="71" spans="1:1" hidden="1" x14ac:dyDescent="0.2">
      <c r="A71" s="75" t="str">
        <f>IF(ROW()-70&lt;=$A$70,ROW()-70,"")</f>
        <v/>
      </c>
    </row>
    <row r="72" spans="1:1" hidden="1" x14ac:dyDescent="0.2">
      <c r="A72" s="75" t="str">
        <f t="shared" ref="A72:A135" si="0">IF(ROW()-70&lt;=$A$70,ROW()-70,"")</f>
        <v/>
      </c>
    </row>
    <row r="73" spans="1:1" hidden="1" x14ac:dyDescent="0.2">
      <c r="A73" s="75" t="str">
        <f t="shared" si="0"/>
        <v/>
      </c>
    </row>
    <row r="74" spans="1:1" hidden="1" x14ac:dyDescent="0.2">
      <c r="A74" s="75" t="str">
        <f t="shared" si="0"/>
        <v/>
      </c>
    </row>
    <row r="75" spans="1:1" hidden="1" x14ac:dyDescent="0.2">
      <c r="A75" s="75" t="str">
        <f t="shared" si="0"/>
        <v/>
      </c>
    </row>
    <row r="76" spans="1:1" hidden="1" x14ac:dyDescent="0.2">
      <c r="A76" s="75" t="str">
        <f t="shared" si="0"/>
        <v/>
      </c>
    </row>
    <row r="77" spans="1:1" hidden="1" x14ac:dyDescent="0.2">
      <c r="A77" s="75" t="str">
        <f t="shared" si="0"/>
        <v/>
      </c>
    </row>
    <row r="78" spans="1:1" hidden="1" x14ac:dyDescent="0.2">
      <c r="A78" s="75" t="str">
        <f t="shared" si="0"/>
        <v/>
      </c>
    </row>
    <row r="79" spans="1:1" hidden="1" x14ac:dyDescent="0.2">
      <c r="A79" s="75" t="str">
        <f t="shared" si="0"/>
        <v/>
      </c>
    </row>
    <row r="80" spans="1:1" hidden="1" x14ac:dyDescent="0.2">
      <c r="A80" s="75" t="str">
        <f t="shared" si="0"/>
        <v/>
      </c>
    </row>
    <row r="81" spans="1:1" hidden="1" x14ac:dyDescent="0.2">
      <c r="A81" s="75" t="str">
        <f t="shared" si="0"/>
        <v/>
      </c>
    </row>
    <row r="82" spans="1:1" hidden="1" x14ac:dyDescent="0.2">
      <c r="A82" s="75" t="str">
        <f t="shared" si="0"/>
        <v/>
      </c>
    </row>
    <row r="83" spans="1:1" hidden="1" x14ac:dyDescent="0.2">
      <c r="A83" s="75" t="str">
        <f t="shared" si="0"/>
        <v/>
      </c>
    </row>
    <row r="84" spans="1:1" hidden="1" x14ac:dyDescent="0.2">
      <c r="A84" s="75" t="str">
        <f t="shared" si="0"/>
        <v/>
      </c>
    </row>
    <row r="85" spans="1:1" hidden="1" x14ac:dyDescent="0.2">
      <c r="A85" s="75" t="str">
        <f t="shared" si="0"/>
        <v/>
      </c>
    </row>
    <row r="86" spans="1:1" hidden="1" x14ac:dyDescent="0.2">
      <c r="A86" s="75" t="str">
        <f t="shared" si="0"/>
        <v/>
      </c>
    </row>
    <row r="87" spans="1:1" hidden="1" x14ac:dyDescent="0.2">
      <c r="A87" s="75" t="str">
        <f t="shared" si="0"/>
        <v/>
      </c>
    </row>
    <row r="88" spans="1:1" hidden="1" x14ac:dyDescent="0.2">
      <c r="A88" s="75" t="str">
        <f t="shared" si="0"/>
        <v/>
      </c>
    </row>
    <row r="89" spans="1:1" hidden="1" x14ac:dyDescent="0.2">
      <c r="A89" s="75" t="str">
        <f t="shared" si="0"/>
        <v/>
      </c>
    </row>
    <row r="90" spans="1:1" hidden="1" x14ac:dyDescent="0.2">
      <c r="A90" s="75" t="str">
        <f t="shared" si="0"/>
        <v/>
      </c>
    </row>
    <row r="91" spans="1:1" hidden="1" x14ac:dyDescent="0.2">
      <c r="A91" s="75" t="str">
        <f t="shared" si="0"/>
        <v/>
      </c>
    </row>
    <row r="92" spans="1:1" hidden="1" x14ac:dyDescent="0.2">
      <c r="A92" s="75" t="str">
        <f t="shared" si="0"/>
        <v/>
      </c>
    </row>
    <row r="93" spans="1:1" hidden="1" x14ac:dyDescent="0.2">
      <c r="A93" s="75" t="str">
        <f t="shared" si="0"/>
        <v/>
      </c>
    </row>
    <row r="94" spans="1:1" hidden="1" x14ac:dyDescent="0.2">
      <c r="A94" s="75" t="str">
        <f t="shared" si="0"/>
        <v/>
      </c>
    </row>
    <row r="95" spans="1:1" x14ac:dyDescent="0.2">
      <c r="A95" s="75" t="str">
        <f t="shared" si="0"/>
        <v/>
      </c>
    </row>
    <row r="96" spans="1:1" x14ac:dyDescent="0.2">
      <c r="A96" s="75" t="str">
        <f t="shared" si="0"/>
        <v/>
      </c>
    </row>
    <row r="97" spans="1:1" x14ac:dyDescent="0.2">
      <c r="A97" s="75" t="str">
        <f t="shared" si="0"/>
        <v/>
      </c>
    </row>
    <row r="98" spans="1:1" x14ac:dyDescent="0.2">
      <c r="A98" s="75" t="str">
        <f t="shared" si="0"/>
        <v/>
      </c>
    </row>
    <row r="99" spans="1:1" x14ac:dyDescent="0.2">
      <c r="A99" s="75" t="str">
        <f t="shared" si="0"/>
        <v/>
      </c>
    </row>
    <row r="100" spans="1:1" x14ac:dyDescent="0.2">
      <c r="A100" s="75" t="str">
        <f t="shared" si="0"/>
        <v/>
      </c>
    </row>
    <row r="101" spans="1:1" x14ac:dyDescent="0.2">
      <c r="A101" s="75" t="str">
        <f t="shared" si="0"/>
        <v/>
      </c>
    </row>
    <row r="102" spans="1:1" x14ac:dyDescent="0.2">
      <c r="A102" s="75" t="str">
        <f t="shared" si="0"/>
        <v/>
      </c>
    </row>
    <row r="103" spans="1:1" x14ac:dyDescent="0.2">
      <c r="A103" s="75" t="str">
        <f t="shared" si="0"/>
        <v/>
      </c>
    </row>
    <row r="104" spans="1:1" x14ac:dyDescent="0.2">
      <c r="A104" s="75" t="str">
        <f t="shared" si="0"/>
        <v/>
      </c>
    </row>
    <row r="105" spans="1:1" x14ac:dyDescent="0.2">
      <c r="A105" s="75" t="str">
        <f t="shared" si="0"/>
        <v/>
      </c>
    </row>
    <row r="106" spans="1:1" x14ac:dyDescent="0.2">
      <c r="A106" s="75" t="str">
        <f t="shared" si="0"/>
        <v/>
      </c>
    </row>
    <row r="107" spans="1:1" x14ac:dyDescent="0.2">
      <c r="A107" s="75" t="str">
        <f t="shared" si="0"/>
        <v/>
      </c>
    </row>
    <row r="108" spans="1:1" x14ac:dyDescent="0.2">
      <c r="A108" s="75" t="str">
        <f t="shared" si="0"/>
        <v/>
      </c>
    </row>
    <row r="109" spans="1:1" x14ac:dyDescent="0.2">
      <c r="A109" s="75" t="str">
        <f t="shared" si="0"/>
        <v/>
      </c>
    </row>
    <row r="110" spans="1:1" x14ac:dyDescent="0.2">
      <c r="A110" s="75" t="str">
        <f t="shared" si="0"/>
        <v/>
      </c>
    </row>
    <row r="111" spans="1:1" x14ac:dyDescent="0.2">
      <c r="A111" s="75" t="str">
        <f t="shared" si="0"/>
        <v/>
      </c>
    </row>
    <row r="112" spans="1:1" x14ac:dyDescent="0.2">
      <c r="A112" s="75" t="str">
        <f t="shared" si="0"/>
        <v/>
      </c>
    </row>
    <row r="113" spans="1:1" x14ac:dyDescent="0.2">
      <c r="A113" s="75" t="str">
        <f t="shared" si="0"/>
        <v/>
      </c>
    </row>
    <row r="114" spans="1:1" x14ac:dyDescent="0.2">
      <c r="A114" s="75" t="str">
        <f t="shared" si="0"/>
        <v/>
      </c>
    </row>
    <row r="115" spans="1:1" x14ac:dyDescent="0.2">
      <c r="A115" s="75" t="str">
        <f t="shared" si="0"/>
        <v/>
      </c>
    </row>
    <row r="116" spans="1:1" x14ac:dyDescent="0.2">
      <c r="A116" s="75" t="str">
        <f t="shared" si="0"/>
        <v/>
      </c>
    </row>
    <row r="117" spans="1:1" x14ac:dyDescent="0.2">
      <c r="A117" s="75" t="str">
        <f t="shared" si="0"/>
        <v/>
      </c>
    </row>
    <row r="118" spans="1:1" x14ac:dyDescent="0.2">
      <c r="A118" s="75" t="str">
        <f t="shared" si="0"/>
        <v/>
      </c>
    </row>
    <row r="119" spans="1:1" x14ac:dyDescent="0.2">
      <c r="A119" s="75" t="str">
        <f>IF(ROW()-70&lt;=$A$70,ROW()-70,"")</f>
        <v/>
      </c>
    </row>
    <row r="120" spans="1:1" x14ac:dyDescent="0.2">
      <c r="A120" s="75" t="str">
        <f t="shared" si="0"/>
        <v/>
      </c>
    </row>
    <row r="121" spans="1:1" x14ac:dyDescent="0.2">
      <c r="A121" s="75" t="str">
        <f t="shared" si="0"/>
        <v/>
      </c>
    </row>
    <row r="122" spans="1:1" x14ac:dyDescent="0.2">
      <c r="A122" s="75" t="str">
        <f t="shared" si="0"/>
        <v/>
      </c>
    </row>
    <row r="123" spans="1:1" x14ac:dyDescent="0.2">
      <c r="A123" s="75" t="str">
        <f t="shared" si="0"/>
        <v/>
      </c>
    </row>
    <row r="124" spans="1:1" x14ac:dyDescent="0.2">
      <c r="A124" s="75" t="str">
        <f t="shared" si="0"/>
        <v/>
      </c>
    </row>
    <row r="125" spans="1:1" x14ac:dyDescent="0.2">
      <c r="A125" s="75" t="str">
        <f t="shared" si="0"/>
        <v/>
      </c>
    </row>
    <row r="126" spans="1:1" x14ac:dyDescent="0.2">
      <c r="A126" s="75" t="str">
        <f t="shared" si="0"/>
        <v/>
      </c>
    </row>
    <row r="127" spans="1:1" x14ac:dyDescent="0.2">
      <c r="A127" s="75" t="str">
        <f t="shared" si="0"/>
        <v/>
      </c>
    </row>
    <row r="128" spans="1:1" x14ac:dyDescent="0.2">
      <c r="A128" s="75" t="str">
        <f t="shared" si="0"/>
        <v/>
      </c>
    </row>
    <row r="129" spans="1:1" x14ac:dyDescent="0.2">
      <c r="A129" s="75" t="str">
        <f t="shared" si="0"/>
        <v/>
      </c>
    </row>
    <row r="130" spans="1:1" x14ac:dyDescent="0.2">
      <c r="A130" s="75" t="str">
        <f t="shared" si="0"/>
        <v/>
      </c>
    </row>
    <row r="131" spans="1:1" x14ac:dyDescent="0.2">
      <c r="A131" s="75" t="str">
        <f t="shared" si="0"/>
        <v/>
      </c>
    </row>
    <row r="132" spans="1:1" x14ac:dyDescent="0.2">
      <c r="A132" s="75" t="str">
        <f t="shared" si="0"/>
        <v/>
      </c>
    </row>
    <row r="133" spans="1:1" x14ac:dyDescent="0.2">
      <c r="A133" s="75" t="str">
        <f t="shared" si="0"/>
        <v/>
      </c>
    </row>
    <row r="134" spans="1:1" x14ac:dyDescent="0.2">
      <c r="A134" s="75" t="str">
        <f t="shared" si="0"/>
        <v/>
      </c>
    </row>
    <row r="135" spans="1:1" x14ac:dyDescent="0.2">
      <c r="A135" s="75" t="str">
        <f t="shared" si="0"/>
        <v/>
      </c>
    </row>
    <row r="136" spans="1:1" x14ac:dyDescent="0.2">
      <c r="A136" s="75" t="str">
        <f>IF(ROW()-70&lt;=$A$70,ROW()-70,"")</f>
        <v/>
      </c>
    </row>
    <row r="137" spans="1:1" x14ac:dyDescent="0.2">
      <c r="A137" s="75" t="str">
        <f>IF(ROW()-70&lt;=$A$70,ROW()-70,"")</f>
        <v/>
      </c>
    </row>
    <row r="138" spans="1:1" x14ac:dyDescent="0.2">
      <c r="A138" s="75" t="str">
        <f>IF(ROW()-70&lt;=$A$70,ROW()-70,"")</f>
        <v/>
      </c>
    </row>
    <row r="139" spans="1:1" x14ac:dyDescent="0.2">
      <c r="A139" s="75" t="str">
        <f>IF(ROW()-70&lt;=$A$70,ROW()-70,"")</f>
        <v/>
      </c>
    </row>
    <row r="140" spans="1:1" x14ac:dyDescent="0.2">
      <c r="A140" s="75" t="str">
        <f>IF(ROW()-70&lt;=$A$70,ROW()-70,"")</f>
        <v/>
      </c>
    </row>
  </sheetData>
  <sheetProtection algorithmName="SHA-512" hashValue="MJO4azwcpycW458fobqXvwSNAayKTP4x/feWPsj69ivbRU8bv/kVq43QUXRs78Rdqk3dGN93X2tXwDrwVVMvqg==" saltValue="knn4wZzlv6flEH3nYAkC/Q==" spinCount="100000" sheet="1" objects="1" scenarios="1"/>
  <mergeCells count="13">
    <mergeCell ref="B3:B4"/>
    <mergeCell ref="A3:A4"/>
    <mergeCell ref="J3:K3"/>
    <mergeCell ref="L3:M3"/>
    <mergeCell ref="N3:O3"/>
    <mergeCell ref="V3:V4"/>
    <mergeCell ref="T3:U3"/>
    <mergeCell ref="C3:C4"/>
    <mergeCell ref="D3:E3"/>
    <mergeCell ref="F3:G3"/>
    <mergeCell ref="H3:I3"/>
    <mergeCell ref="P3:Q3"/>
    <mergeCell ref="R3:S3"/>
  </mergeCells>
  <phoneticPr fontId="16"/>
  <conditionalFormatting sqref="A12:B49">
    <cfRule type="expression" dxfId="3" priority="1" stopIfTrue="1">
      <formula>$F12="D"</formula>
    </cfRule>
  </conditionalFormatting>
  <conditionalFormatting sqref="A12:B50">
    <cfRule type="notContainsBlanks" dxfId="2" priority="2" stopIfTrue="1">
      <formula>LEN(TRIM(A12))&gt;0</formula>
    </cfRule>
  </conditionalFormatting>
  <conditionalFormatting sqref="A11:G11 C12:G50">
    <cfRule type="expression" dxfId="1" priority="3" stopIfTrue="1">
      <formula>$F11="D"</formula>
    </cfRule>
    <cfRule type="notContainsBlanks" dxfId="0" priority="4" stopIfTrue="1">
      <formula>LEN(TRIM(A11))&gt;0</formula>
    </cfRule>
  </conditionalFormatting>
  <hyperlinks>
    <hyperlink ref="F1" location="Menu!C6" display="戻る" xr:uid="{00000000-0004-0000-0300-000000000000}"/>
  </hyperlinks>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55"/>
  <sheetViews>
    <sheetView showGridLines="0" showRowColHeaders="0" workbookViewId="0">
      <pane xSplit="1" ySplit="2" topLeftCell="B36" activePane="bottomRight" state="frozen"/>
      <selection pane="topRight" activeCell="B1" sqref="B1"/>
      <selection pane="bottomLeft" activeCell="A3" sqref="A3"/>
      <selection pane="bottomRight" activeCell="F1" sqref="F1"/>
    </sheetView>
  </sheetViews>
  <sheetFormatPr defaultRowHeight="13" x14ac:dyDescent="0.2"/>
  <cols>
    <col min="1" max="1" width="2.453125" customWidth="1"/>
    <col min="2" max="2" width="9" bestFit="1" customWidth="1"/>
    <col min="3" max="3" width="18" hidden="1" customWidth="1"/>
    <col min="4" max="4" width="27.6328125" bestFit="1" customWidth="1"/>
    <col min="5" max="5" width="3.6328125" customWidth="1"/>
    <col min="6" max="6" width="12.7265625" bestFit="1" customWidth="1"/>
  </cols>
  <sheetData>
    <row r="1" spans="2:6" x14ac:dyDescent="0.2">
      <c r="F1" s="93" t="s">
        <v>192</v>
      </c>
    </row>
    <row r="2" spans="2:6" x14ac:dyDescent="0.2">
      <c r="B2" s="91" t="s">
        <v>190</v>
      </c>
      <c r="C2" s="91" t="s">
        <v>191</v>
      </c>
      <c r="D2" s="91" t="s">
        <v>71</v>
      </c>
    </row>
    <row r="3" spans="2:6" x14ac:dyDescent="0.2">
      <c r="B3" s="92">
        <v>1</v>
      </c>
      <c r="C3" s="88" t="s">
        <v>87</v>
      </c>
      <c r="D3" s="87" t="s">
        <v>140</v>
      </c>
    </row>
    <row r="4" spans="2:6" x14ac:dyDescent="0.2">
      <c r="B4" s="92">
        <v>2</v>
      </c>
      <c r="C4" s="88" t="s">
        <v>88</v>
      </c>
      <c r="D4" s="87" t="s">
        <v>141</v>
      </c>
    </row>
    <row r="5" spans="2:6" x14ac:dyDescent="0.2">
      <c r="B5" s="92">
        <v>3</v>
      </c>
      <c r="C5" s="88" t="s">
        <v>89</v>
      </c>
      <c r="D5" s="87" t="s">
        <v>142</v>
      </c>
    </row>
    <row r="6" spans="2:6" x14ac:dyDescent="0.2">
      <c r="B6" s="92">
        <v>4</v>
      </c>
      <c r="C6" s="88" t="s">
        <v>90</v>
      </c>
      <c r="D6" s="87" t="s">
        <v>143</v>
      </c>
    </row>
    <row r="7" spans="2:6" x14ac:dyDescent="0.2">
      <c r="B7" s="92">
        <v>5</v>
      </c>
      <c r="C7" s="88" t="s">
        <v>91</v>
      </c>
      <c r="D7" s="87" t="s">
        <v>144</v>
      </c>
    </row>
    <row r="8" spans="2:6" x14ac:dyDescent="0.2">
      <c r="B8" s="92">
        <v>6</v>
      </c>
      <c r="C8" s="88" t="s">
        <v>92</v>
      </c>
      <c r="D8" s="87" t="s">
        <v>145</v>
      </c>
    </row>
    <row r="9" spans="2:6" x14ac:dyDescent="0.2">
      <c r="B9" s="92">
        <v>7</v>
      </c>
      <c r="C9" s="88" t="s">
        <v>93</v>
      </c>
      <c r="D9" s="87" t="s">
        <v>146</v>
      </c>
    </row>
    <row r="10" spans="2:6" x14ac:dyDescent="0.2">
      <c r="B10" s="92">
        <v>8</v>
      </c>
      <c r="C10" s="88" t="s">
        <v>94</v>
      </c>
      <c r="D10" s="87" t="s">
        <v>187</v>
      </c>
    </row>
    <row r="11" spans="2:6" x14ac:dyDescent="0.2">
      <c r="B11" s="92">
        <v>9</v>
      </c>
      <c r="C11" s="88" t="s">
        <v>95</v>
      </c>
      <c r="D11" s="87" t="s">
        <v>147</v>
      </c>
    </row>
    <row r="12" spans="2:6" x14ac:dyDescent="0.2">
      <c r="B12" s="92">
        <v>10</v>
      </c>
      <c r="C12" s="88" t="s">
        <v>96</v>
      </c>
      <c r="D12" s="87" t="s">
        <v>148</v>
      </c>
    </row>
    <row r="13" spans="2:6" x14ac:dyDescent="0.2">
      <c r="B13" s="92">
        <v>11</v>
      </c>
      <c r="C13" s="88" t="s">
        <v>97</v>
      </c>
      <c r="D13" s="87" t="s">
        <v>149</v>
      </c>
    </row>
    <row r="14" spans="2:6" x14ac:dyDescent="0.2">
      <c r="B14" s="92">
        <v>12</v>
      </c>
      <c r="C14" s="88" t="s">
        <v>98</v>
      </c>
      <c r="D14" s="87" t="s">
        <v>150</v>
      </c>
    </row>
    <row r="15" spans="2:6" x14ac:dyDescent="0.2">
      <c r="B15" s="92">
        <v>13</v>
      </c>
      <c r="C15" s="88" t="s">
        <v>99</v>
      </c>
      <c r="D15" s="87" t="s">
        <v>151</v>
      </c>
    </row>
    <row r="16" spans="2:6" x14ac:dyDescent="0.2">
      <c r="B16" s="92">
        <v>14</v>
      </c>
      <c r="C16" s="88" t="s">
        <v>100</v>
      </c>
      <c r="D16" s="87" t="s">
        <v>152</v>
      </c>
    </row>
    <row r="17" spans="2:4" x14ac:dyDescent="0.2">
      <c r="B17" s="92">
        <v>15</v>
      </c>
      <c r="C17" s="88" t="s">
        <v>101</v>
      </c>
      <c r="D17" s="87" t="s">
        <v>153</v>
      </c>
    </row>
    <row r="18" spans="2:4" x14ac:dyDescent="0.2">
      <c r="B18" s="92">
        <v>16</v>
      </c>
      <c r="C18" s="88" t="s">
        <v>102</v>
      </c>
      <c r="D18" s="87" t="s">
        <v>154</v>
      </c>
    </row>
    <row r="19" spans="2:4" x14ac:dyDescent="0.2">
      <c r="B19" s="92">
        <v>17</v>
      </c>
      <c r="C19" s="88" t="s">
        <v>103</v>
      </c>
      <c r="D19" s="87" t="s">
        <v>155</v>
      </c>
    </row>
    <row r="20" spans="2:4" x14ac:dyDescent="0.2">
      <c r="B20" s="92">
        <v>18</v>
      </c>
      <c r="C20" s="88" t="s">
        <v>104</v>
      </c>
      <c r="D20" s="87" t="s">
        <v>156</v>
      </c>
    </row>
    <row r="21" spans="2:4" x14ac:dyDescent="0.2">
      <c r="B21" s="92">
        <v>19</v>
      </c>
      <c r="C21" s="88" t="s">
        <v>105</v>
      </c>
      <c r="D21" s="87" t="s">
        <v>157</v>
      </c>
    </row>
    <row r="22" spans="2:4" x14ac:dyDescent="0.2">
      <c r="B22" s="92">
        <v>20</v>
      </c>
      <c r="C22" s="88" t="s">
        <v>106</v>
      </c>
      <c r="D22" s="87" t="s">
        <v>158</v>
      </c>
    </row>
    <row r="23" spans="2:4" x14ac:dyDescent="0.2">
      <c r="B23" s="92">
        <v>21</v>
      </c>
      <c r="C23" s="88" t="s">
        <v>107</v>
      </c>
      <c r="D23" s="87" t="s">
        <v>159</v>
      </c>
    </row>
    <row r="24" spans="2:4" x14ac:dyDescent="0.2">
      <c r="B24" s="92">
        <v>22</v>
      </c>
      <c r="C24" s="88" t="s">
        <v>108</v>
      </c>
      <c r="D24" s="87" t="s">
        <v>160</v>
      </c>
    </row>
    <row r="25" spans="2:4" x14ac:dyDescent="0.2">
      <c r="B25" s="92">
        <v>23</v>
      </c>
      <c r="C25" s="88" t="s">
        <v>109</v>
      </c>
      <c r="D25" s="87" t="s">
        <v>161</v>
      </c>
    </row>
    <row r="26" spans="2:4" x14ac:dyDescent="0.2">
      <c r="B26" s="92">
        <v>24</v>
      </c>
      <c r="C26" s="88" t="s">
        <v>110</v>
      </c>
      <c r="D26" s="87" t="s">
        <v>162</v>
      </c>
    </row>
    <row r="27" spans="2:4" x14ac:dyDescent="0.2">
      <c r="B27" s="92">
        <v>25</v>
      </c>
      <c r="C27" s="88" t="s">
        <v>111</v>
      </c>
      <c r="D27" s="87" t="s">
        <v>163</v>
      </c>
    </row>
    <row r="28" spans="2:4" x14ac:dyDescent="0.2">
      <c r="B28" s="92">
        <v>26</v>
      </c>
      <c r="C28" s="88" t="s">
        <v>112</v>
      </c>
      <c r="D28" s="87" t="s">
        <v>164</v>
      </c>
    </row>
    <row r="29" spans="2:4" x14ac:dyDescent="0.2">
      <c r="B29" s="92">
        <v>27</v>
      </c>
      <c r="C29" s="88" t="s">
        <v>113</v>
      </c>
      <c r="D29" s="87" t="s">
        <v>165</v>
      </c>
    </row>
    <row r="30" spans="2:4" x14ac:dyDescent="0.2">
      <c r="B30" s="92">
        <v>28</v>
      </c>
      <c r="C30" s="88" t="s">
        <v>114</v>
      </c>
      <c r="D30" s="87" t="s">
        <v>166</v>
      </c>
    </row>
    <row r="31" spans="2:4" x14ac:dyDescent="0.2">
      <c r="B31" s="92">
        <v>29</v>
      </c>
      <c r="C31" s="88" t="s">
        <v>115</v>
      </c>
      <c r="D31" s="87" t="s">
        <v>167</v>
      </c>
    </row>
    <row r="32" spans="2:4" x14ac:dyDescent="0.2">
      <c r="B32" s="92">
        <v>30</v>
      </c>
      <c r="C32" s="88" t="s">
        <v>116</v>
      </c>
      <c r="D32" s="87" t="s">
        <v>168</v>
      </c>
    </row>
    <row r="33" spans="2:4" x14ac:dyDescent="0.2">
      <c r="B33" s="92">
        <v>31</v>
      </c>
      <c r="C33" s="88" t="s">
        <v>117</v>
      </c>
      <c r="D33" s="87" t="s">
        <v>169</v>
      </c>
    </row>
    <row r="34" spans="2:4" x14ac:dyDescent="0.2">
      <c r="B34" s="92">
        <v>32</v>
      </c>
      <c r="C34" s="88" t="s">
        <v>118</v>
      </c>
      <c r="D34" s="87" t="s">
        <v>170</v>
      </c>
    </row>
    <row r="35" spans="2:4" x14ac:dyDescent="0.2">
      <c r="B35" s="92">
        <v>33</v>
      </c>
      <c r="C35" s="88" t="s">
        <v>119</v>
      </c>
      <c r="D35" s="87" t="s">
        <v>171</v>
      </c>
    </row>
    <row r="36" spans="2:4" x14ac:dyDescent="0.2">
      <c r="B36" s="92">
        <v>34</v>
      </c>
      <c r="C36" s="88" t="s">
        <v>120</v>
      </c>
      <c r="D36" s="87" t="s">
        <v>172</v>
      </c>
    </row>
    <row r="37" spans="2:4" x14ac:dyDescent="0.2">
      <c r="B37" s="92">
        <v>35</v>
      </c>
      <c r="C37" s="88" t="s">
        <v>121</v>
      </c>
      <c r="D37" s="87" t="s">
        <v>173</v>
      </c>
    </row>
    <row r="38" spans="2:4" x14ac:dyDescent="0.2">
      <c r="B38" s="92">
        <v>36</v>
      </c>
      <c r="C38" s="88" t="s">
        <v>122</v>
      </c>
      <c r="D38" s="87" t="s">
        <v>174</v>
      </c>
    </row>
    <row r="39" spans="2:4" x14ac:dyDescent="0.2">
      <c r="B39" s="92">
        <v>37</v>
      </c>
      <c r="C39" s="88" t="s">
        <v>123</v>
      </c>
      <c r="D39" s="87" t="s">
        <v>175</v>
      </c>
    </row>
    <row r="40" spans="2:4" x14ac:dyDescent="0.2">
      <c r="B40" s="92">
        <v>38</v>
      </c>
      <c r="C40" s="88" t="s">
        <v>124</v>
      </c>
      <c r="D40" s="87" t="s">
        <v>176</v>
      </c>
    </row>
    <row r="41" spans="2:4" x14ac:dyDescent="0.2">
      <c r="B41" s="92">
        <v>39</v>
      </c>
      <c r="C41" s="88" t="s">
        <v>125</v>
      </c>
      <c r="D41" s="87" t="s">
        <v>177</v>
      </c>
    </row>
    <row r="42" spans="2:4" x14ac:dyDescent="0.2">
      <c r="B42" s="92">
        <v>40</v>
      </c>
      <c r="C42" s="88" t="s">
        <v>126</v>
      </c>
      <c r="D42" s="87" t="s">
        <v>178</v>
      </c>
    </row>
    <row r="43" spans="2:4" x14ac:dyDescent="0.2">
      <c r="B43" s="92">
        <v>41</v>
      </c>
      <c r="C43" s="88" t="s">
        <v>127</v>
      </c>
      <c r="D43" s="87" t="s">
        <v>179</v>
      </c>
    </row>
    <row r="44" spans="2:4" x14ac:dyDescent="0.2">
      <c r="B44" s="92">
        <v>42</v>
      </c>
      <c r="C44" s="88" t="s">
        <v>128</v>
      </c>
      <c r="D44" s="87" t="s">
        <v>180</v>
      </c>
    </row>
    <row r="45" spans="2:4" x14ac:dyDescent="0.2">
      <c r="B45" s="92">
        <v>43</v>
      </c>
      <c r="C45" s="88" t="s">
        <v>129</v>
      </c>
      <c r="D45" s="87" t="s">
        <v>181</v>
      </c>
    </row>
    <row r="46" spans="2:4" x14ac:dyDescent="0.2">
      <c r="B46" s="92">
        <v>44</v>
      </c>
      <c r="C46" s="88" t="s">
        <v>130</v>
      </c>
      <c r="D46" s="87" t="s">
        <v>182</v>
      </c>
    </row>
    <row r="47" spans="2:4" x14ac:dyDescent="0.2">
      <c r="B47" s="92">
        <v>45</v>
      </c>
      <c r="C47" s="88" t="s">
        <v>131</v>
      </c>
      <c r="D47" s="87" t="s">
        <v>189</v>
      </c>
    </row>
    <row r="48" spans="2:4" x14ac:dyDescent="0.2">
      <c r="B48" s="92">
        <v>46</v>
      </c>
      <c r="C48" s="88" t="s">
        <v>132</v>
      </c>
      <c r="D48" s="87" t="s">
        <v>183</v>
      </c>
    </row>
    <row r="49" spans="2:4" x14ac:dyDescent="0.2">
      <c r="B49" s="92">
        <v>47</v>
      </c>
      <c r="C49" s="88" t="s">
        <v>133</v>
      </c>
      <c r="D49" s="87" t="s">
        <v>184</v>
      </c>
    </row>
    <row r="50" spans="2:4" x14ac:dyDescent="0.2">
      <c r="B50" s="92">
        <v>48</v>
      </c>
      <c r="C50" s="88" t="s">
        <v>134</v>
      </c>
      <c r="D50" s="87" t="s">
        <v>185</v>
      </c>
    </row>
    <row r="51" spans="2:4" x14ac:dyDescent="0.2">
      <c r="B51" s="92">
        <v>49</v>
      </c>
      <c r="C51" s="88" t="s">
        <v>135</v>
      </c>
      <c r="D51" s="87" t="s">
        <v>186</v>
      </c>
    </row>
    <row r="52" spans="2:4" x14ac:dyDescent="0.2">
      <c r="B52" s="92"/>
      <c r="C52" s="88" t="s">
        <v>136</v>
      </c>
    </row>
    <row r="53" spans="2:4" x14ac:dyDescent="0.2">
      <c r="B53" s="92"/>
      <c r="C53" s="88" t="s">
        <v>137</v>
      </c>
      <c r="D53" s="87"/>
    </row>
    <row r="54" spans="2:4" x14ac:dyDescent="0.2">
      <c r="B54" s="92">
        <v>99</v>
      </c>
      <c r="C54" s="88" t="s">
        <v>138</v>
      </c>
      <c r="D54" s="87" t="s">
        <v>188</v>
      </c>
    </row>
    <row r="55" spans="2:4" x14ac:dyDescent="0.2">
      <c r="C55" s="88" t="s">
        <v>139</v>
      </c>
    </row>
  </sheetData>
  <sheetProtection algorithmName="SHA-512" hashValue="93a6jdP5OZUK+afBq82JuB+BrKv1MqThG7HLbw7skldw50WjtRl5p8oA5W/2xrW7xQcYr2JWX/iWQRU8GmKIlA==" saltValue="58AHgmFMrMjN+HrNQz7YWg==" spinCount="100000" sheet="1" objects="1" scenarios="1" selectLockedCells="1"/>
  <phoneticPr fontId="16"/>
  <hyperlinks>
    <hyperlink ref="F1" location="Menu!A1" display="←設定へ戻る"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9"/>
  <sheetViews>
    <sheetView workbookViewId="0">
      <selection activeCell="G14" sqref="G14"/>
    </sheetView>
  </sheetViews>
  <sheetFormatPr defaultColWidth="9" defaultRowHeight="13" x14ac:dyDescent="0.2"/>
  <cols>
    <col min="1" max="1" width="6.08984375" style="7" customWidth="1"/>
    <col min="2" max="4" width="5.26953125" style="7" bestFit="1" customWidth="1"/>
    <col min="5" max="7" width="15.90625" style="7" customWidth="1"/>
    <col min="8" max="8" width="2.453125" style="7" bestFit="1" customWidth="1"/>
    <col min="9" max="9" width="3.453125" style="7" bestFit="1" customWidth="1"/>
    <col min="10" max="16384" width="9" style="7"/>
  </cols>
  <sheetData>
    <row r="1" spans="1:9" ht="13.5" thickBot="1" x14ac:dyDescent="0.25">
      <c r="A1" s="7">
        <f>MAX(A2:A49)</f>
        <v>0</v>
      </c>
      <c r="B1" s="7" t="s">
        <v>70</v>
      </c>
      <c r="C1" s="7" t="s">
        <v>70</v>
      </c>
      <c r="D1" s="7" t="s">
        <v>63</v>
      </c>
      <c r="E1" s="7" t="s">
        <v>71</v>
      </c>
      <c r="F1" s="7" t="s">
        <v>72</v>
      </c>
      <c r="G1" s="7" t="s">
        <v>73</v>
      </c>
    </row>
    <row r="2" spans="1:9" x14ac:dyDescent="0.2">
      <c r="A2" s="56" t="str">
        <f>IF(I2="","",RANK(I2,$I$2:$I$49,1))</f>
        <v/>
      </c>
      <c r="B2" s="57">
        <v>1</v>
      </c>
      <c r="C2" s="57" t="str">
        <f>IF(B2&lt;=男子!$B$30,予処理!B2,"")</f>
        <v/>
      </c>
      <c r="D2" s="50" t="s">
        <v>64</v>
      </c>
      <c r="E2" s="50" t="str">
        <f>IF(C2="","",Menu!$C$10)</f>
        <v/>
      </c>
      <c r="F2" s="50" t="str">
        <f t="shared" ref="F2:F9" si="0">IF(I2="","",VLOOKUP($C2*2-1,ダブルス男,18,FALSE))</f>
        <v/>
      </c>
      <c r="G2" s="50" t="str">
        <f t="shared" ref="G2:G9" si="1">IF(I2="","",VLOOKUP($C2*2,ダブルス男,18,FALSE))</f>
        <v/>
      </c>
      <c r="H2" s="52" t="s">
        <v>50</v>
      </c>
      <c r="I2" s="52" t="str">
        <f>IF(E2="","",ROW())</f>
        <v/>
      </c>
    </row>
    <row r="3" spans="1:9" x14ac:dyDescent="0.2">
      <c r="A3" s="58" t="str">
        <f t="shared" ref="A3:A49" si="2">IF(I3="","",RANK(I3,$I$2:$I$49,1))</f>
        <v/>
      </c>
      <c r="B3" s="48">
        <v>2</v>
      </c>
      <c r="C3" s="48" t="str">
        <f>IF(B3&lt;=男子!$B$30,予処理!B3,"")</f>
        <v/>
      </c>
      <c r="D3" s="49" t="s">
        <v>64</v>
      </c>
      <c r="E3" s="49" t="str">
        <f>IF(C3="","",Menu!$C$10)</f>
        <v/>
      </c>
      <c r="F3" s="49" t="str">
        <f t="shared" si="0"/>
        <v/>
      </c>
      <c r="G3" s="49" t="str">
        <f t="shared" si="1"/>
        <v/>
      </c>
      <c r="H3" s="53" t="s">
        <v>50</v>
      </c>
      <c r="I3" s="53" t="str">
        <f t="shared" ref="I3:I49" si="3">IF(E3="","",ROW())</f>
        <v/>
      </c>
    </row>
    <row r="4" spans="1:9" x14ac:dyDescent="0.2">
      <c r="A4" s="58" t="str">
        <f t="shared" si="2"/>
        <v/>
      </c>
      <c r="B4" s="48">
        <v>3</v>
      </c>
      <c r="C4" s="48" t="str">
        <f>IF(B4&lt;=男子!$B$30,予処理!B4,"")</f>
        <v/>
      </c>
      <c r="D4" s="49" t="s">
        <v>64</v>
      </c>
      <c r="E4" s="49" t="str">
        <f>IF(C4="","",Menu!$C$10)</f>
        <v/>
      </c>
      <c r="F4" s="49" t="str">
        <f t="shared" si="0"/>
        <v/>
      </c>
      <c r="G4" s="49" t="str">
        <f t="shared" si="1"/>
        <v/>
      </c>
      <c r="H4" s="53" t="s">
        <v>50</v>
      </c>
      <c r="I4" s="53" t="str">
        <f t="shared" si="3"/>
        <v/>
      </c>
    </row>
    <row r="5" spans="1:9" x14ac:dyDescent="0.2">
      <c r="A5" s="58" t="str">
        <f t="shared" si="2"/>
        <v/>
      </c>
      <c r="B5" s="48">
        <v>4</v>
      </c>
      <c r="C5" s="48" t="str">
        <f>IF(B5&lt;=男子!$B$30,予処理!B5,"")</f>
        <v/>
      </c>
      <c r="D5" s="49" t="s">
        <v>64</v>
      </c>
      <c r="E5" s="49" t="str">
        <f>IF(C5="","",Menu!$C$10)</f>
        <v/>
      </c>
      <c r="F5" s="49" t="str">
        <f t="shared" si="0"/>
        <v/>
      </c>
      <c r="G5" s="49" t="str">
        <f t="shared" si="1"/>
        <v/>
      </c>
      <c r="H5" s="53" t="s">
        <v>50</v>
      </c>
      <c r="I5" s="53" t="str">
        <f t="shared" si="3"/>
        <v/>
      </c>
    </row>
    <row r="6" spans="1:9" x14ac:dyDescent="0.2">
      <c r="A6" s="58" t="str">
        <f t="shared" si="2"/>
        <v/>
      </c>
      <c r="B6" s="48">
        <v>5</v>
      </c>
      <c r="C6" s="48" t="str">
        <f>IF(B6&lt;=男子!$B$30,予処理!B6,"")</f>
        <v/>
      </c>
      <c r="D6" s="49" t="s">
        <v>64</v>
      </c>
      <c r="E6" s="49" t="str">
        <f>IF(C6="","",Menu!$C$10)</f>
        <v/>
      </c>
      <c r="F6" s="49" t="str">
        <f t="shared" si="0"/>
        <v/>
      </c>
      <c r="G6" s="49" t="str">
        <f t="shared" si="1"/>
        <v/>
      </c>
      <c r="H6" s="53" t="s">
        <v>50</v>
      </c>
      <c r="I6" s="53" t="str">
        <f t="shared" si="3"/>
        <v/>
      </c>
    </row>
    <row r="7" spans="1:9" x14ac:dyDescent="0.2">
      <c r="A7" s="58" t="str">
        <f t="shared" si="2"/>
        <v/>
      </c>
      <c r="B7" s="48">
        <v>6</v>
      </c>
      <c r="C7" s="48" t="str">
        <f>IF(B7&lt;=男子!$B$30,予処理!B7,"")</f>
        <v/>
      </c>
      <c r="D7" s="49" t="s">
        <v>64</v>
      </c>
      <c r="E7" s="49" t="str">
        <f>IF(C7="","",Menu!$C$10)</f>
        <v/>
      </c>
      <c r="F7" s="49" t="str">
        <f t="shared" si="0"/>
        <v/>
      </c>
      <c r="G7" s="49" t="str">
        <f t="shared" si="1"/>
        <v/>
      </c>
      <c r="H7" s="53" t="s">
        <v>50</v>
      </c>
      <c r="I7" s="53" t="str">
        <f t="shared" si="3"/>
        <v/>
      </c>
    </row>
    <row r="8" spans="1:9" x14ac:dyDescent="0.2">
      <c r="A8" s="58" t="str">
        <f t="shared" si="2"/>
        <v/>
      </c>
      <c r="B8" s="48">
        <v>7</v>
      </c>
      <c r="C8" s="48" t="str">
        <f>IF(B8&lt;=男子!$B$30,予処理!B8,"")</f>
        <v/>
      </c>
      <c r="D8" s="49" t="s">
        <v>64</v>
      </c>
      <c r="E8" s="49" t="str">
        <f>IF(C8="","",Menu!$C$10)</f>
        <v/>
      </c>
      <c r="F8" s="49" t="str">
        <f t="shared" si="0"/>
        <v/>
      </c>
      <c r="G8" s="49" t="str">
        <f t="shared" si="1"/>
        <v/>
      </c>
      <c r="H8" s="53" t="s">
        <v>50</v>
      </c>
      <c r="I8" s="53" t="str">
        <f t="shared" si="3"/>
        <v/>
      </c>
    </row>
    <row r="9" spans="1:9" x14ac:dyDescent="0.2">
      <c r="A9" s="58" t="str">
        <f t="shared" si="2"/>
        <v/>
      </c>
      <c r="B9" s="48">
        <v>8</v>
      </c>
      <c r="C9" s="48" t="str">
        <f>IF(B9&lt;=男子!$B$30,予処理!B9,"")</f>
        <v/>
      </c>
      <c r="D9" s="49" t="s">
        <v>64</v>
      </c>
      <c r="E9" s="49" t="str">
        <f>IF(C9="","",Menu!$C$10)</f>
        <v/>
      </c>
      <c r="F9" s="49" t="str">
        <f t="shared" si="0"/>
        <v/>
      </c>
      <c r="G9" s="49" t="str">
        <f t="shared" si="1"/>
        <v/>
      </c>
      <c r="H9" s="53" t="s">
        <v>50</v>
      </c>
      <c r="I9" s="53" t="str">
        <f t="shared" si="3"/>
        <v/>
      </c>
    </row>
    <row r="10" spans="1:9" x14ac:dyDescent="0.2">
      <c r="A10" s="58" t="str">
        <f t="shared" si="2"/>
        <v/>
      </c>
      <c r="B10" s="48">
        <v>1</v>
      </c>
      <c r="C10" s="48" t="str">
        <f>IF(B10&lt;=女子!$B$30,予処理!B10,"")</f>
        <v/>
      </c>
      <c r="D10" s="49" t="s">
        <v>66</v>
      </c>
      <c r="E10" s="49" t="str">
        <f>IF(C10="","",Menu!$C$10)</f>
        <v/>
      </c>
      <c r="F10" s="49" t="str">
        <f t="shared" ref="F10:F17" si="4">IF(I10="","",VLOOKUP($C10*2-1,ダブルス女,18,FALSE))</f>
        <v/>
      </c>
      <c r="G10" s="49" t="str">
        <f t="shared" ref="G10:G17" si="5">IF(I10="","",VLOOKUP($C10*2,ダブルス女,18,FALSE))</f>
        <v/>
      </c>
      <c r="H10" s="53" t="s">
        <v>50</v>
      </c>
      <c r="I10" s="53" t="str">
        <f t="shared" si="3"/>
        <v/>
      </c>
    </row>
    <row r="11" spans="1:9" x14ac:dyDescent="0.2">
      <c r="A11" s="58" t="str">
        <f t="shared" si="2"/>
        <v/>
      </c>
      <c r="B11" s="48">
        <v>2</v>
      </c>
      <c r="C11" s="48" t="str">
        <f>IF(B11&lt;=女子!$B$30,予処理!B11,"")</f>
        <v/>
      </c>
      <c r="D11" s="49" t="s">
        <v>66</v>
      </c>
      <c r="E11" s="49" t="str">
        <f>IF(C11="","",Menu!$C$10)</f>
        <v/>
      </c>
      <c r="F11" s="49" t="str">
        <f t="shared" si="4"/>
        <v/>
      </c>
      <c r="G11" s="49" t="str">
        <f t="shared" si="5"/>
        <v/>
      </c>
      <c r="H11" s="53" t="s">
        <v>50</v>
      </c>
      <c r="I11" s="53" t="str">
        <f t="shared" si="3"/>
        <v/>
      </c>
    </row>
    <row r="12" spans="1:9" x14ac:dyDescent="0.2">
      <c r="A12" s="58" t="str">
        <f t="shared" si="2"/>
        <v/>
      </c>
      <c r="B12" s="48">
        <v>3</v>
      </c>
      <c r="C12" s="48" t="str">
        <f>IF(B12&lt;=女子!$B$30,予処理!B12,"")</f>
        <v/>
      </c>
      <c r="D12" s="49" t="s">
        <v>66</v>
      </c>
      <c r="E12" s="49" t="str">
        <f>IF(C12="","",Menu!$C$10)</f>
        <v/>
      </c>
      <c r="F12" s="49" t="str">
        <f t="shared" si="4"/>
        <v/>
      </c>
      <c r="G12" s="49" t="str">
        <f t="shared" si="5"/>
        <v/>
      </c>
      <c r="H12" s="53" t="s">
        <v>50</v>
      </c>
      <c r="I12" s="53" t="str">
        <f t="shared" si="3"/>
        <v/>
      </c>
    </row>
    <row r="13" spans="1:9" x14ac:dyDescent="0.2">
      <c r="A13" s="58" t="str">
        <f t="shared" si="2"/>
        <v/>
      </c>
      <c r="B13" s="48">
        <v>4</v>
      </c>
      <c r="C13" s="48" t="str">
        <f>IF(B13&lt;=女子!$B$30,予処理!B13,"")</f>
        <v/>
      </c>
      <c r="D13" s="49" t="s">
        <v>66</v>
      </c>
      <c r="E13" s="49" t="str">
        <f>IF(C13="","",Menu!$C$10)</f>
        <v/>
      </c>
      <c r="F13" s="49" t="str">
        <f t="shared" si="4"/>
        <v/>
      </c>
      <c r="G13" s="49" t="str">
        <f t="shared" si="5"/>
        <v/>
      </c>
      <c r="H13" s="53" t="s">
        <v>50</v>
      </c>
      <c r="I13" s="53" t="str">
        <f t="shared" si="3"/>
        <v/>
      </c>
    </row>
    <row r="14" spans="1:9" x14ac:dyDescent="0.2">
      <c r="A14" s="58" t="str">
        <f t="shared" si="2"/>
        <v/>
      </c>
      <c r="B14" s="48">
        <v>5</v>
      </c>
      <c r="C14" s="48" t="str">
        <f>IF(B14&lt;=女子!$B$30,予処理!B14,"")</f>
        <v/>
      </c>
      <c r="D14" s="49" t="s">
        <v>66</v>
      </c>
      <c r="E14" s="49" t="str">
        <f>IF(C14="","",Menu!$C$10)</f>
        <v/>
      </c>
      <c r="F14" s="49" t="str">
        <f t="shared" si="4"/>
        <v/>
      </c>
      <c r="G14" s="49" t="str">
        <f t="shared" si="5"/>
        <v/>
      </c>
      <c r="H14" s="53" t="s">
        <v>50</v>
      </c>
      <c r="I14" s="53" t="str">
        <f t="shared" si="3"/>
        <v/>
      </c>
    </row>
    <row r="15" spans="1:9" x14ac:dyDescent="0.2">
      <c r="A15" s="58" t="str">
        <f t="shared" si="2"/>
        <v/>
      </c>
      <c r="B15" s="48">
        <v>6</v>
      </c>
      <c r="C15" s="48" t="str">
        <f>IF(B15&lt;=女子!$B$30,予処理!B15,"")</f>
        <v/>
      </c>
      <c r="D15" s="49" t="s">
        <v>66</v>
      </c>
      <c r="E15" s="48" t="str">
        <f>IF(C15="","",Menu!$C$10)</f>
        <v/>
      </c>
      <c r="F15" s="48" t="str">
        <f t="shared" si="4"/>
        <v/>
      </c>
      <c r="G15" s="48" t="str">
        <f t="shared" si="5"/>
        <v/>
      </c>
      <c r="H15" s="54" t="s">
        <v>50</v>
      </c>
      <c r="I15" s="54" t="str">
        <f t="shared" si="3"/>
        <v/>
      </c>
    </row>
    <row r="16" spans="1:9" x14ac:dyDescent="0.2">
      <c r="A16" s="58" t="str">
        <f t="shared" si="2"/>
        <v/>
      </c>
      <c r="B16" s="48">
        <v>7</v>
      </c>
      <c r="C16" s="48" t="str">
        <f>IF(B16&lt;=女子!$B$30,予処理!B16,"")</f>
        <v/>
      </c>
      <c r="D16" s="49" t="s">
        <v>66</v>
      </c>
      <c r="E16" s="48" t="str">
        <f>IF(C16="","",Menu!$C$10)</f>
        <v/>
      </c>
      <c r="F16" s="48" t="str">
        <f t="shared" si="4"/>
        <v/>
      </c>
      <c r="G16" s="48" t="str">
        <f t="shared" si="5"/>
        <v/>
      </c>
      <c r="H16" s="54" t="s">
        <v>50</v>
      </c>
      <c r="I16" s="54" t="str">
        <f t="shared" si="3"/>
        <v/>
      </c>
    </row>
    <row r="17" spans="1:9" x14ac:dyDescent="0.2">
      <c r="A17" s="58" t="str">
        <f t="shared" si="2"/>
        <v/>
      </c>
      <c r="B17" s="48">
        <v>8</v>
      </c>
      <c r="C17" s="48" t="str">
        <f>IF(B17&lt;=女子!$B$30,予処理!B17,"")</f>
        <v/>
      </c>
      <c r="D17" s="49" t="s">
        <v>66</v>
      </c>
      <c r="E17" s="48" t="str">
        <f>IF(C17="","",Menu!$C$10)</f>
        <v/>
      </c>
      <c r="F17" s="48" t="str">
        <f t="shared" si="4"/>
        <v/>
      </c>
      <c r="G17" s="48" t="str">
        <f t="shared" si="5"/>
        <v/>
      </c>
      <c r="H17" s="54" t="s">
        <v>50</v>
      </c>
      <c r="I17" s="54" t="str">
        <f t="shared" si="3"/>
        <v/>
      </c>
    </row>
    <row r="18" spans="1:9" x14ac:dyDescent="0.2">
      <c r="A18" s="58" t="str">
        <f t="shared" si="2"/>
        <v/>
      </c>
      <c r="B18" s="49">
        <v>1</v>
      </c>
      <c r="C18" s="49" t="str">
        <f>IF(B18&lt;=男子!$C$30,予処理!B18,"")</f>
        <v/>
      </c>
      <c r="D18" s="48" t="s">
        <v>64</v>
      </c>
      <c r="E18" s="49" t="str">
        <f>IF(C18="","",Menu!$C$10)</f>
        <v/>
      </c>
      <c r="F18" s="49" t="str">
        <f t="shared" ref="F18:F33" si="6">IF(C18="","",VLOOKUP($C18,シングル男,17,FALSE))</f>
        <v/>
      </c>
      <c r="G18" s="49" t="str">
        <f t="shared" ref="G18:G33" si="7">IF(C18="","",VLOOKUP($C18,シングル男,8,FALSE))</f>
        <v/>
      </c>
      <c r="H18" s="54" t="s">
        <v>51</v>
      </c>
      <c r="I18" s="54" t="str">
        <f t="shared" si="3"/>
        <v/>
      </c>
    </row>
    <row r="19" spans="1:9" x14ac:dyDescent="0.2">
      <c r="A19" s="58" t="str">
        <f t="shared" si="2"/>
        <v/>
      </c>
      <c r="B19" s="49">
        <v>2</v>
      </c>
      <c r="C19" s="49" t="str">
        <f>IF(B19&lt;=男子!$C$30,予処理!B19,"")</f>
        <v/>
      </c>
      <c r="D19" s="48" t="s">
        <v>64</v>
      </c>
      <c r="E19" s="49" t="str">
        <f>IF(C19="","",Menu!$C$10)</f>
        <v/>
      </c>
      <c r="F19" s="49" t="str">
        <f t="shared" si="6"/>
        <v/>
      </c>
      <c r="G19" s="49" t="str">
        <f t="shared" si="7"/>
        <v/>
      </c>
      <c r="H19" s="54" t="s">
        <v>51</v>
      </c>
      <c r="I19" s="54" t="str">
        <f t="shared" si="3"/>
        <v/>
      </c>
    </row>
    <row r="20" spans="1:9" x14ac:dyDescent="0.2">
      <c r="A20" s="58" t="str">
        <f t="shared" si="2"/>
        <v/>
      </c>
      <c r="B20" s="49">
        <v>3</v>
      </c>
      <c r="C20" s="49" t="str">
        <f>IF(B20&lt;=男子!$C$30,予処理!B20,"")</f>
        <v/>
      </c>
      <c r="D20" s="48" t="s">
        <v>64</v>
      </c>
      <c r="E20" s="49" t="str">
        <f>IF(C20="","",Menu!$C$10)</f>
        <v/>
      </c>
      <c r="F20" s="49" t="str">
        <f t="shared" si="6"/>
        <v/>
      </c>
      <c r="G20" s="49" t="str">
        <f t="shared" si="7"/>
        <v/>
      </c>
      <c r="H20" s="54" t="s">
        <v>69</v>
      </c>
      <c r="I20" s="54" t="str">
        <f t="shared" si="3"/>
        <v/>
      </c>
    </row>
    <row r="21" spans="1:9" x14ac:dyDescent="0.2">
      <c r="A21" s="58" t="str">
        <f t="shared" si="2"/>
        <v/>
      </c>
      <c r="B21" s="49">
        <v>4</v>
      </c>
      <c r="C21" s="49" t="str">
        <f>IF(B21&lt;=男子!$C$30,予処理!B21,"")</f>
        <v/>
      </c>
      <c r="D21" s="48" t="s">
        <v>64</v>
      </c>
      <c r="E21" s="49" t="str">
        <f>IF(C21="","",Menu!$C$10)</f>
        <v/>
      </c>
      <c r="F21" s="49" t="str">
        <f t="shared" si="6"/>
        <v/>
      </c>
      <c r="G21" s="49" t="str">
        <f t="shared" si="7"/>
        <v/>
      </c>
      <c r="H21" s="54" t="s">
        <v>69</v>
      </c>
      <c r="I21" s="54" t="str">
        <f t="shared" si="3"/>
        <v/>
      </c>
    </row>
    <row r="22" spans="1:9" x14ac:dyDescent="0.2">
      <c r="A22" s="58" t="str">
        <f t="shared" si="2"/>
        <v/>
      </c>
      <c r="B22" s="49">
        <v>5</v>
      </c>
      <c r="C22" s="49" t="str">
        <f>IF(B22&lt;=男子!$C$30,予処理!B22,"")</f>
        <v/>
      </c>
      <c r="D22" s="48" t="s">
        <v>64</v>
      </c>
      <c r="E22" s="49" t="str">
        <f>IF(C22="","",Menu!$C$10)</f>
        <v/>
      </c>
      <c r="F22" s="49" t="str">
        <f t="shared" si="6"/>
        <v/>
      </c>
      <c r="G22" s="49" t="str">
        <f t="shared" si="7"/>
        <v/>
      </c>
      <c r="H22" s="54" t="s">
        <v>51</v>
      </c>
      <c r="I22" s="54" t="str">
        <f t="shared" si="3"/>
        <v/>
      </c>
    </row>
    <row r="23" spans="1:9" x14ac:dyDescent="0.2">
      <c r="A23" s="58" t="str">
        <f t="shared" si="2"/>
        <v/>
      </c>
      <c r="B23" s="49">
        <v>6</v>
      </c>
      <c r="C23" s="49" t="str">
        <f>IF(B23&lt;=男子!$C$30,予処理!B23,"")</f>
        <v/>
      </c>
      <c r="D23" s="48" t="s">
        <v>64</v>
      </c>
      <c r="E23" s="49" t="str">
        <f>IF(C23="","",Menu!$C$10)</f>
        <v/>
      </c>
      <c r="F23" s="49" t="str">
        <f t="shared" si="6"/>
        <v/>
      </c>
      <c r="G23" s="49" t="str">
        <f t="shared" si="7"/>
        <v/>
      </c>
      <c r="H23" s="54" t="s">
        <v>51</v>
      </c>
      <c r="I23" s="54" t="str">
        <f t="shared" si="3"/>
        <v/>
      </c>
    </row>
    <row r="24" spans="1:9" x14ac:dyDescent="0.2">
      <c r="A24" s="58" t="str">
        <f t="shared" si="2"/>
        <v/>
      </c>
      <c r="B24" s="49">
        <v>7</v>
      </c>
      <c r="C24" s="49" t="str">
        <f>IF(B24&lt;=男子!$C$30,予処理!B24,"")</f>
        <v/>
      </c>
      <c r="D24" s="48" t="s">
        <v>64</v>
      </c>
      <c r="E24" s="49" t="str">
        <f>IF(C24="","",Menu!$C$10)</f>
        <v/>
      </c>
      <c r="F24" s="49" t="str">
        <f t="shared" si="6"/>
        <v/>
      </c>
      <c r="G24" s="49" t="str">
        <f t="shared" si="7"/>
        <v/>
      </c>
      <c r="H24" s="54" t="s">
        <v>51</v>
      </c>
      <c r="I24" s="54" t="str">
        <f t="shared" si="3"/>
        <v/>
      </c>
    </row>
    <row r="25" spans="1:9" x14ac:dyDescent="0.2">
      <c r="A25" s="58" t="str">
        <f t="shared" si="2"/>
        <v/>
      </c>
      <c r="B25" s="49">
        <v>8</v>
      </c>
      <c r="C25" s="49" t="str">
        <f>IF(B25&lt;=男子!$C$30,予処理!B25,"")</f>
        <v/>
      </c>
      <c r="D25" s="48" t="s">
        <v>64</v>
      </c>
      <c r="E25" s="49" t="str">
        <f>IF(C25="","",Menu!$C$10)</f>
        <v/>
      </c>
      <c r="F25" s="49" t="str">
        <f t="shared" si="6"/>
        <v/>
      </c>
      <c r="G25" s="49" t="str">
        <f t="shared" si="7"/>
        <v/>
      </c>
      <c r="H25" s="54" t="s">
        <v>51</v>
      </c>
      <c r="I25" s="54" t="str">
        <f t="shared" si="3"/>
        <v/>
      </c>
    </row>
    <row r="26" spans="1:9" x14ac:dyDescent="0.2">
      <c r="A26" s="58" t="str">
        <f t="shared" si="2"/>
        <v/>
      </c>
      <c r="B26" s="49">
        <v>9</v>
      </c>
      <c r="C26" s="49" t="str">
        <f>IF(B26&lt;=男子!$C$30,予処理!B26,"")</f>
        <v/>
      </c>
      <c r="D26" s="48" t="s">
        <v>64</v>
      </c>
      <c r="E26" s="49" t="str">
        <f>IF(C26="","",Menu!$C$10)</f>
        <v/>
      </c>
      <c r="F26" s="49" t="str">
        <f t="shared" si="6"/>
        <v/>
      </c>
      <c r="G26" s="49" t="str">
        <f t="shared" si="7"/>
        <v/>
      </c>
      <c r="H26" s="54" t="s">
        <v>51</v>
      </c>
      <c r="I26" s="54" t="str">
        <f t="shared" si="3"/>
        <v/>
      </c>
    </row>
    <row r="27" spans="1:9" x14ac:dyDescent="0.2">
      <c r="A27" s="58" t="str">
        <f t="shared" si="2"/>
        <v/>
      </c>
      <c r="B27" s="49">
        <v>10</v>
      </c>
      <c r="C27" s="49" t="str">
        <f>IF(B27&lt;=男子!$C$30,予処理!B27,"")</f>
        <v/>
      </c>
      <c r="D27" s="48" t="s">
        <v>64</v>
      </c>
      <c r="E27" s="49" t="str">
        <f>IF(C27="","",Menu!$C$10)</f>
        <v/>
      </c>
      <c r="F27" s="49" t="str">
        <f t="shared" si="6"/>
        <v/>
      </c>
      <c r="G27" s="49" t="str">
        <f t="shared" si="7"/>
        <v/>
      </c>
      <c r="H27" s="54" t="s">
        <v>69</v>
      </c>
      <c r="I27" s="54" t="str">
        <f t="shared" si="3"/>
        <v/>
      </c>
    </row>
    <row r="28" spans="1:9" x14ac:dyDescent="0.2">
      <c r="A28" s="58" t="str">
        <f t="shared" si="2"/>
        <v/>
      </c>
      <c r="B28" s="49">
        <v>11</v>
      </c>
      <c r="C28" s="49" t="str">
        <f>IF(B28&lt;=男子!$C$30,予処理!B28,"")</f>
        <v/>
      </c>
      <c r="D28" s="48" t="s">
        <v>64</v>
      </c>
      <c r="E28" s="49" t="str">
        <f>IF(C28="","",Menu!$C$10)</f>
        <v/>
      </c>
      <c r="F28" s="49" t="str">
        <f t="shared" si="6"/>
        <v/>
      </c>
      <c r="G28" s="49" t="str">
        <f t="shared" si="7"/>
        <v/>
      </c>
      <c r="H28" s="54" t="s">
        <v>51</v>
      </c>
      <c r="I28" s="54" t="str">
        <f t="shared" si="3"/>
        <v/>
      </c>
    </row>
    <row r="29" spans="1:9" x14ac:dyDescent="0.2">
      <c r="A29" s="58" t="str">
        <f t="shared" si="2"/>
        <v/>
      </c>
      <c r="B29" s="49">
        <v>12</v>
      </c>
      <c r="C29" s="49" t="str">
        <f>IF(B29&lt;=男子!$C$30,予処理!B29,"")</f>
        <v/>
      </c>
      <c r="D29" s="48" t="s">
        <v>64</v>
      </c>
      <c r="E29" s="49" t="str">
        <f>IF(C29="","",Menu!$C$10)</f>
        <v/>
      </c>
      <c r="F29" s="49" t="str">
        <f t="shared" si="6"/>
        <v/>
      </c>
      <c r="G29" s="49" t="str">
        <f t="shared" si="7"/>
        <v/>
      </c>
      <c r="H29" s="54" t="s">
        <v>51</v>
      </c>
      <c r="I29" s="54" t="str">
        <f t="shared" si="3"/>
        <v/>
      </c>
    </row>
    <row r="30" spans="1:9" x14ac:dyDescent="0.2">
      <c r="A30" s="58" t="str">
        <f t="shared" si="2"/>
        <v/>
      </c>
      <c r="B30" s="49">
        <v>13</v>
      </c>
      <c r="C30" s="49" t="str">
        <f>IF(B30&lt;=男子!$C$30,予処理!B30,"")</f>
        <v/>
      </c>
      <c r="D30" s="48" t="s">
        <v>64</v>
      </c>
      <c r="E30" s="49" t="str">
        <f>IF(C30="","",Menu!$C$10)</f>
        <v/>
      </c>
      <c r="F30" s="49" t="str">
        <f t="shared" si="6"/>
        <v/>
      </c>
      <c r="G30" s="49" t="str">
        <f t="shared" si="7"/>
        <v/>
      </c>
      <c r="H30" s="54" t="s">
        <v>51</v>
      </c>
      <c r="I30" s="54" t="str">
        <f t="shared" si="3"/>
        <v/>
      </c>
    </row>
    <row r="31" spans="1:9" x14ac:dyDescent="0.2">
      <c r="A31" s="58" t="str">
        <f t="shared" si="2"/>
        <v/>
      </c>
      <c r="B31" s="49">
        <v>14</v>
      </c>
      <c r="C31" s="49" t="str">
        <f>IF(B31&lt;=男子!$C$30,予処理!B31,"")</f>
        <v/>
      </c>
      <c r="D31" s="48" t="s">
        <v>64</v>
      </c>
      <c r="E31" s="49" t="str">
        <f>IF(C31="","",Menu!$C$10)</f>
        <v/>
      </c>
      <c r="F31" s="49" t="str">
        <f t="shared" si="6"/>
        <v/>
      </c>
      <c r="G31" s="49" t="str">
        <f t="shared" si="7"/>
        <v/>
      </c>
      <c r="H31" s="54" t="s">
        <v>51</v>
      </c>
      <c r="I31" s="54" t="str">
        <f t="shared" si="3"/>
        <v/>
      </c>
    </row>
    <row r="32" spans="1:9" x14ac:dyDescent="0.2">
      <c r="A32" s="58" t="str">
        <f t="shared" si="2"/>
        <v/>
      </c>
      <c r="B32" s="49">
        <v>15</v>
      </c>
      <c r="C32" s="49" t="str">
        <f>IF(B32&lt;=男子!$C$30,予処理!B32,"")</f>
        <v/>
      </c>
      <c r="D32" s="48" t="s">
        <v>64</v>
      </c>
      <c r="E32" s="49" t="str">
        <f>IF(C32="","",Menu!$C$10)</f>
        <v/>
      </c>
      <c r="F32" s="49" t="str">
        <f t="shared" si="6"/>
        <v/>
      </c>
      <c r="G32" s="49" t="str">
        <f t="shared" si="7"/>
        <v/>
      </c>
      <c r="H32" s="54" t="s">
        <v>51</v>
      </c>
      <c r="I32" s="54" t="str">
        <f t="shared" si="3"/>
        <v/>
      </c>
    </row>
    <row r="33" spans="1:9" x14ac:dyDescent="0.2">
      <c r="A33" s="58" t="str">
        <f t="shared" si="2"/>
        <v/>
      </c>
      <c r="B33" s="49">
        <v>16</v>
      </c>
      <c r="C33" s="49" t="str">
        <f>IF(B33&lt;=男子!$C$30,予処理!B33,"")</f>
        <v/>
      </c>
      <c r="D33" s="48" t="s">
        <v>64</v>
      </c>
      <c r="E33" s="49" t="str">
        <f>IF(C33="","",Menu!$C$10)</f>
        <v/>
      </c>
      <c r="F33" s="49" t="str">
        <f t="shared" si="6"/>
        <v/>
      </c>
      <c r="G33" s="49" t="str">
        <f t="shared" si="7"/>
        <v/>
      </c>
      <c r="H33" s="54" t="s">
        <v>69</v>
      </c>
      <c r="I33" s="54" t="str">
        <f t="shared" si="3"/>
        <v/>
      </c>
    </row>
    <row r="34" spans="1:9" x14ac:dyDescent="0.2">
      <c r="A34" s="58" t="str">
        <f t="shared" si="2"/>
        <v/>
      </c>
      <c r="B34" s="49">
        <v>1</v>
      </c>
      <c r="C34" s="49" t="str">
        <f>IF(B34&lt;=女子!$C$30,予処理!B34,"")</f>
        <v/>
      </c>
      <c r="D34" s="48" t="s">
        <v>66</v>
      </c>
      <c r="E34" s="49" t="str">
        <f>IF(C34="","",Menu!$C$10)</f>
        <v/>
      </c>
      <c r="F34" s="49" t="str">
        <f t="shared" ref="F34:F49" si="8">IF(C34="","",VLOOKUP($C34,シングル女,17,FALSE))</f>
        <v/>
      </c>
      <c r="G34" s="49" t="str">
        <f t="shared" ref="G34:G49" si="9">IF(C34="","",VLOOKUP($C34,シングル女,8,FALSE))</f>
        <v/>
      </c>
      <c r="H34" s="54" t="s">
        <v>51</v>
      </c>
      <c r="I34" s="54" t="str">
        <f t="shared" si="3"/>
        <v/>
      </c>
    </row>
    <row r="35" spans="1:9" x14ac:dyDescent="0.2">
      <c r="A35" s="58" t="str">
        <f t="shared" si="2"/>
        <v/>
      </c>
      <c r="B35" s="49">
        <v>2</v>
      </c>
      <c r="C35" s="49" t="str">
        <f>IF(B35&lt;=女子!$C$30,予処理!B35,"")</f>
        <v/>
      </c>
      <c r="D35" s="48" t="s">
        <v>66</v>
      </c>
      <c r="E35" s="49" t="str">
        <f>IF(C35="","",Menu!$C$10)</f>
        <v/>
      </c>
      <c r="F35" s="49" t="str">
        <f t="shared" si="8"/>
        <v/>
      </c>
      <c r="G35" s="49" t="str">
        <f t="shared" si="9"/>
        <v/>
      </c>
      <c r="H35" s="54" t="s">
        <v>51</v>
      </c>
      <c r="I35" s="54" t="str">
        <f t="shared" si="3"/>
        <v/>
      </c>
    </row>
    <row r="36" spans="1:9" x14ac:dyDescent="0.2">
      <c r="A36" s="58" t="str">
        <f t="shared" si="2"/>
        <v/>
      </c>
      <c r="B36" s="49">
        <v>3</v>
      </c>
      <c r="C36" s="49" t="str">
        <f>IF(B36&lt;=女子!$C$30,予処理!B36,"")</f>
        <v/>
      </c>
      <c r="D36" s="48" t="s">
        <v>66</v>
      </c>
      <c r="E36" s="49" t="str">
        <f>IF(C36="","",Menu!$C$10)</f>
        <v/>
      </c>
      <c r="F36" s="49" t="str">
        <f t="shared" si="8"/>
        <v/>
      </c>
      <c r="G36" s="49" t="str">
        <f t="shared" si="9"/>
        <v/>
      </c>
      <c r="H36" s="54" t="s">
        <v>51</v>
      </c>
      <c r="I36" s="54" t="str">
        <f t="shared" si="3"/>
        <v/>
      </c>
    </row>
    <row r="37" spans="1:9" x14ac:dyDescent="0.2">
      <c r="A37" s="58" t="str">
        <f t="shared" si="2"/>
        <v/>
      </c>
      <c r="B37" s="49">
        <v>4</v>
      </c>
      <c r="C37" s="49" t="str">
        <f>IF(B37&lt;=女子!$C$30,予処理!B37,"")</f>
        <v/>
      </c>
      <c r="D37" s="48" t="s">
        <v>66</v>
      </c>
      <c r="E37" s="49" t="str">
        <f>IF(C37="","",Menu!$C$10)</f>
        <v/>
      </c>
      <c r="F37" s="49" t="str">
        <f t="shared" si="8"/>
        <v/>
      </c>
      <c r="G37" s="49" t="str">
        <f t="shared" si="9"/>
        <v/>
      </c>
      <c r="H37" s="54" t="s">
        <v>51</v>
      </c>
      <c r="I37" s="54" t="str">
        <f t="shared" si="3"/>
        <v/>
      </c>
    </row>
    <row r="38" spans="1:9" x14ac:dyDescent="0.2">
      <c r="A38" s="58" t="str">
        <f t="shared" si="2"/>
        <v/>
      </c>
      <c r="B38" s="49">
        <v>5</v>
      </c>
      <c r="C38" s="49" t="str">
        <f>IF(B38&lt;=女子!$C$30,予処理!B38,"")</f>
        <v/>
      </c>
      <c r="D38" s="48" t="s">
        <v>66</v>
      </c>
      <c r="E38" s="49" t="str">
        <f>IF(C38="","",Menu!$C$10)</f>
        <v/>
      </c>
      <c r="F38" s="49" t="str">
        <f t="shared" si="8"/>
        <v/>
      </c>
      <c r="G38" s="49" t="str">
        <f t="shared" si="9"/>
        <v/>
      </c>
      <c r="H38" s="54" t="s">
        <v>51</v>
      </c>
      <c r="I38" s="54" t="str">
        <f t="shared" si="3"/>
        <v/>
      </c>
    </row>
    <row r="39" spans="1:9" x14ac:dyDescent="0.2">
      <c r="A39" s="58" t="str">
        <f t="shared" si="2"/>
        <v/>
      </c>
      <c r="B39" s="49">
        <v>6</v>
      </c>
      <c r="C39" s="49" t="str">
        <f>IF(B39&lt;=女子!$C$30,予処理!B39,"")</f>
        <v/>
      </c>
      <c r="D39" s="48" t="s">
        <v>66</v>
      </c>
      <c r="E39" s="49" t="str">
        <f>IF(C39="","",Menu!$C$10)</f>
        <v/>
      </c>
      <c r="F39" s="49" t="str">
        <f t="shared" si="8"/>
        <v/>
      </c>
      <c r="G39" s="49" t="str">
        <f t="shared" si="9"/>
        <v/>
      </c>
      <c r="H39" s="54" t="s">
        <v>69</v>
      </c>
      <c r="I39" s="54" t="str">
        <f t="shared" si="3"/>
        <v/>
      </c>
    </row>
    <row r="40" spans="1:9" x14ac:dyDescent="0.2">
      <c r="A40" s="58" t="str">
        <f t="shared" si="2"/>
        <v/>
      </c>
      <c r="B40" s="49">
        <v>7</v>
      </c>
      <c r="C40" s="49" t="str">
        <f>IF(B40&lt;=女子!$C$30,予処理!B40,"")</f>
        <v/>
      </c>
      <c r="D40" s="48" t="s">
        <v>66</v>
      </c>
      <c r="E40" s="49" t="str">
        <f>IF(C40="","",Menu!$C$10)</f>
        <v/>
      </c>
      <c r="F40" s="49" t="str">
        <f t="shared" si="8"/>
        <v/>
      </c>
      <c r="G40" s="49" t="str">
        <f t="shared" si="9"/>
        <v/>
      </c>
      <c r="H40" s="54" t="s">
        <v>51</v>
      </c>
      <c r="I40" s="54" t="str">
        <f t="shared" si="3"/>
        <v/>
      </c>
    </row>
    <row r="41" spans="1:9" x14ac:dyDescent="0.2">
      <c r="A41" s="58" t="str">
        <f t="shared" si="2"/>
        <v/>
      </c>
      <c r="B41" s="49">
        <v>8</v>
      </c>
      <c r="C41" s="49" t="str">
        <f>IF(B41&lt;=女子!$C$30,予処理!B41,"")</f>
        <v/>
      </c>
      <c r="D41" s="48" t="s">
        <v>66</v>
      </c>
      <c r="E41" s="49" t="str">
        <f>IF(C41="","",Menu!$C$10)</f>
        <v/>
      </c>
      <c r="F41" s="49" t="str">
        <f t="shared" si="8"/>
        <v/>
      </c>
      <c r="G41" s="49" t="str">
        <f t="shared" si="9"/>
        <v/>
      </c>
      <c r="H41" s="54" t="s">
        <v>51</v>
      </c>
      <c r="I41" s="54" t="str">
        <f t="shared" si="3"/>
        <v/>
      </c>
    </row>
    <row r="42" spans="1:9" x14ac:dyDescent="0.2">
      <c r="A42" s="58" t="str">
        <f t="shared" si="2"/>
        <v/>
      </c>
      <c r="B42" s="49">
        <v>9</v>
      </c>
      <c r="C42" s="49" t="str">
        <f>IF(B42&lt;=女子!$C$30,予処理!B42,"")</f>
        <v/>
      </c>
      <c r="D42" s="48" t="s">
        <v>66</v>
      </c>
      <c r="E42" s="49" t="str">
        <f>IF(C42="","",Menu!$C$10)</f>
        <v/>
      </c>
      <c r="F42" s="49" t="str">
        <f t="shared" si="8"/>
        <v/>
      </c>
      <c r="G42" s="49" t="str">
        <f t="shared" si="9"/>
        <v/>
      </c>
      <c r="H42" s="54" t="s">
        <v>51</v>
      </c>
      <c r="I42" s="54" t="str">
        <f t="shared" si="3"/>
        <v/>
      </c>
    </row>
    <row r="43" spans="1:9" x14ac:dyDescent="0.2">
      <c r="A43" s="58" t="str">
        <f t="shared" si="2"/>
        <v/>
      </c>
      <c r="B43" s="49">
        <v>10</v>
      </c>
      <c r="C43" s="49" t="str">
        <f>IF(B43&lt;=女子!$C$30,予処理!B43,"")</f>
        <v/>
      </c>
      <c r="D43" s="48" t="s">
        <v>66</v>
      </c>
      <c r="E43" s="49" t="str">
        <f>IF(C43="","",Menu!$C$10)</f>
        <v/>
      </c>
      <c r="F43" s="49" t="str">
        <f t="shared" si="8"/>
        <v/>
      </c>
      <c r="G43" s="49" t="str">
        <f t="shared" si="9"/>
        <v/>
      </c>
      <c r="H43" s="54" t="s">
        <v>69</v>
      </c>
      <c r="I43" s="54" t="str">
        <f t="shared" si="3"/>
        <v/>
      </c>
    </row>
    <row r="44" spans="1:9" x14ac:dyDescent="0.2">
      <c r="A44" s="58" t="str">
        <f t="shared" si="2"/>
        <v/>
      </c>
      <c r="B44" s="49">
        <v>11</v>
      </c>
      <c r="C44" s="49" t="str">
        <f>IF(B44&lt;=女子!$C$30,予処理!B44,"")</f>
        <v/>
      </c>
      <c r="D44" s="48" t="s">
        <v>66</v>
      </c>
      <c r="E44" s="49" t="str">
        <f>IF(C44="","",Menu!$C$10)</f>
        <v/>
      </c>
      <c r="F44" s="49" t="str">
        <f t="shared" si="8"/>
        <v/>
      </c>
      <c r="G44" s="49" t="str">
        <f t="shared" si="9"/>
        <v/>
      </c>
      <c r="H44" s="54" t="s">
        <v>51</v>
      </c>
      <c r="I44" s="54" t="str">
        <f t="shared" si="3"/>
        <v/>
      </c>
    </row>
    <row r="45" spans="1:9" x14ac:dyDescent="0.2">
      <c r="A45" s="58" t="str">
        <f t="shared" si="2"/>
        <v/>
      </c>
      <c r="B45" s="49">
        <v>12</v>
      </c>
      <c r="C45" s="49" t="str">
        <f>IF(B45&lt;=女子!$C$30,予処理!B45,"")</f>
        <v/>
      </c>
      <c r="D45" s="48" t="s">
        <v>66</v>
      </c>
      <c r="E45" s="49" t="str">
        <f>IF(C45="","",Menu!$C$10)</f>
        <v/>
      </c>
      <c r="F45" s="49" t="str">
        <f t="shared" si="8"/>
        <v/>
      </c>
      <c r="G45" s="49" t="str">
        <f t="shared" si="9"/>
        <v/>
      </c>
      <c r="H45" s="54" t="s">
        <v>51</v>
      </c>
      <c r="I45" s="54" t="str">
        <f t="shared" si="3"/>
        <v/>
      </c>
    </row>
    <row r="46" spans="1:9" x14ac:dyDescent="0.2">
      <c r="A46" s="58" t="str">
        <f t="shared" si="2"/>
        <v/>
      </c>
      <c r="B46" s="49">
        <v>13</v>
      </c>
      <c r="C46" s="49" t="str">
        <f>IF(B46&lt;=女子!$C$30,予処理!B46,"")</f>
        <v/>
      </c>
      <c r="D46" s="48" t="s">
        <v>66</v>
      </c>
      <c r="E46" s="49" t="str">
        <f>IF(C46="","",Menu!$C$10)</f>
        <v/>
      </c>
      <c r="F46" s="49" t="str">
        <f t="shared" si="8"/>
        <v/>
      </c>
      <c r="G46" s="49" t="str">
        <f t="shared" si="9"/>
        <v/>
      </c>
      <c r="H46" s="54" t="s">
        <v>69</v>
      </c>
      <c r="I46" s="54" t="str">
        <f t="shared" si="3"/>
        <v/>
      </c>
    </row>
    <row r="47" spans="1:9" x14ac:dyDescent="0.2">
      <c r="A47" s="58" t="str">
        <f t="shared" si="2"/>
        <v/>
      </c>
      <c r="B47" s="49">
        <v>14</v>
      </c>
      <c r="C47" s="49" t="str">
        <f>IF(B47&lt;=女子!$C$30,予処理!B47,"")</f>
        <v/>
      </c>
      <c r="D47" s="48" t="s">
        <v>66</v>
      </c>
      <c r="E47" s="49" t="str">
        <f>IF(C47="","",Menu!$C$10)</f>
        <v/>
      </c>
      <c r="F47" s="49" t="str">
        <f t="shared" si="8"/>
        <v/>
      </c>
      <c r="G47" s="49" t="str">
        <f t="shared" si="9"/>
        <v/>
      </c>
      <c r="H47" s="54" t="s">
        <v>51</v>
      </c>
      <c r="I47" s="54" t="str">
        <f t="shared" si="3"/>
        <v/>
      </c>
    </row>
    <row r="48" spans="1:9" x14ac:dyDescent="0.2">
      <c r="A48" s="58" t="str">
        <f t="shared" si="2"/>
        <v/>
      </c>
      <c r="B48" s="49">
        <v>15</v>
      </c>
      <c r="C48" s="49" t="str">
        <f>IF(B48&lt;=女子!$C$30,予処理!B48,"")</f>
        <v/>
      </c>
      <c r="D48" s="48" t="s">
        <v>66</v>
      </c>
      <c r="E48" s="49" t="str">
        <f>IF(C48="","",Menu!$C$10)</f>
        <v/>
      </c>
      <c r="F48" s="49" t="str">
        <f t="shared" si="8"/>
        <v/>
      </c>
      <c r="G48" s="49" t="str">
        <f t="shared" si="9"/>
        <v/>
      </c>
      <c r="H48" s="54" t="s">
        <v>51</v>
      </c>
      <c r="I48" s="54" t="str">
        <f t="shared" si="3"/>
        <v/>
      </c>
    </row>
    <row r="49" spans="1:9" ht="13.5" thickBot="1" x14ac:dyDescent="0.25">
      <c r="A49" s="59" t="str">
        <f t="shared" si="2"/>
        <v/>
      </c>
      <c r="B49" s="51">
        <v>16</v>
      </c>
      <c r="C49" s="51" t="str">
        <f>IF(B49&lt;=女子!$C$30,予処理!B49,"")</f>
        <v/>
      </c>
      <c r="D49" s="60" t="s">
        <v>66</v>
      </c>
      <c r="E49" s="51" t="str">
        <f>IF(C49="","",Menu!$C$10)</f>
        <v/>
      </c>
      <c r="F49" s="51" t="str">
        <f t="shared" si="8"/>
        <v/>
      </c>
      <c r="G49" s="51" t="str">
        <f t="shared" si="9"/>
        <v/>
      </c>
      <c r="H49" s="55" t="s">
        <v>51</v>
      </c>
      <c r="I49" s="55" t="str">
        <f t="shared" si="3"/>
        <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Menu</vt:lpstr>
      <vt:lpstr>男子</vt:lpstr>
      <vt:lpstr>女子</vt:lpstr>
      <vt:lpstr>処理用</vt:lpstr>
      <vt:lpstr>学校名簿</vt:lpstr>
      <vt:lpstr>予処理</vt:lpstr>
      <vt:lpstr>女子!Print_Area</vt:lpstr>
      <vt:lpstr>男子!Print_Area</vt:lpstr>
      <vt:lpstr>シングル女</vt:lpstr>
      <vt:lpstr>シングル男</vt:lpstr>
      <vt:lpstr>ダブルス女</vt:lpstr>
      <vt:lpstr>ダブルス男</vt:lpstr>
      <vt:lpstr>参加者女</vt:lpstr>
      <vt:lpstr>参加者男</vt:lpstr>
      <vt:lpstr>女子!大会名</vt:lpstr>
      <vt:lpstr>大会名</vt:lpstr>
      <vt:lpstr>女子!大会名２</vt:lpstr>
      <vt:lpstr>大会名２</vt:lpstr>
      <vt:lpstr>団体女</vt:lpstr>
      <vt:lpstr>団体男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Hirakawa</dc:creator>
  <cp:lastModifiedBy>信和 志岐</cp:lastModifiedBy>
  <cp:lastPrinted>2017-03-28T00:52:53Z</cp:lastPrinted>
  <dcterms:created xsi:type="dcterms:W3CDTF">2010-04-20T08:45:06Z</dcterms:created>
  <dcterms:modified xsi:type="dcterms:W3CDTF">2023-12-01T01:46:20Z</dcterms:modified>
</cp:coreProperties>
</file>